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Descargas\"/>
    </mc:Choice>
  </mc:AlternateContent>
  <xr:revisionPtr revIDLastSave="0" documentId="13_ncr:1_{64BE9A2C-BBF9-4E46-91D4-57592EDBB2E2}" xr6:coauthVersionLast="47" xr6:coauthVersionMax="47" xr10:uidLastSave="{00000000-0000-0000-0000-000000000000}"/>
  <bookViews>
    <workbookView xWindow="-120" yWindow="-120" windowWidth="21840" windowHeight="13020" xr2:uid="{79FD8B35-9535-4942-A865-80746C192A35}"/>
  </bookViews>
  <sheets>
    <sheet name="Resumen" sheetId="1" r:id="rId1"/>
    <sheet name="Detalle" sheetId="6" r:id="rId2"/>
    <sheet name="RelacionarCamposConFormulasF1" sheetId="4" r:id="rId3"/>
    <sheet name="RelacionarCamposConFormulasF2"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L8" i="1" s="1"/>
  <c r="L6" i="1"/>
  <c r="L5" i="1"/>
  <c r="L3" i="1"/>
  <c r="L4" i="1"/>
  <c r="F4" i="6"/>
  <c r="H8" i="1"/>
  <c r="H7" i="1"/>
  <c r="H5" i="1"/>
  <c r="H6" i="1"/>
  <c r="H3" i="6"/>
  <c r="F4" i="1"/>
  <c r="F3" i="1"/>
  <c r="I4" i="1"/>
  <c r="I3" i="1"/>
  <c r="B5" i="6"/>
  <c r="L5" i="6" s="1"/>
  <c r="M5" i="6" s="1"/>
  <c r="C4" i="6"/>
  <c r="C3" i="6"/>
  <c r="D3" i="6" s="1"/>
  <c r="G3" i="6" s="1"/>
  <c r="B5" i="5"/>
  <c r="B6" i="5"/>
  <c r="B4" i="5"/>
  <c r="H4" i="5" s="1"/>
  <c r="B6" i="4"/>
  <c r="H6" i="4" s="1"/>
  <c r="B4" i="4"/>
  <c r="H4" i="4" s="1"/>
  <c r="F3" i="6" l="1"/>
  <c r="B3" i="5"/>
  <c r="D9" i="5" s="1"/>
  <c r="B3" i="4"/>
  <c r="I3" i="6"/>
  <c r="K3" i="6" s="1"/>
  <c r="E4" i="6"/>
  <c r="H4" i="6" s="1"/>
  <c r="C5" i="6"/>
  <c r="F5" i="6" s="1"/>
  <c r="F5" i="1"/>
  <c r="D4" i="6"/>
  <c r="B6" i="6"/>
  <c r="H5" i="5"/>
  <c r="I5" i="5" s="1"/>
  <c r="B5" i="4"/>
  <c r="H6" i="5"/>
  <c r="G4" i="6" l="1"/>
  <c r="I4" i="6" s="1"/>
  <c r="K4" i="6" s="1"/>
  <c r="B9" i="5"/>
  <c r="C9" i="5" s="1"/>
  <c r="E9" i="5" s="1"/>
  <c r="B10" i="5" s="1"/>
  <c r="B7" i="6"/>
  <c r="F6" i="1"/>
  <c r="F7" i="1" s="1"/>
  <c r="D5" i="6"/>
  <c r="E5" i="6"/>
  <c r="L6" i="6"/>
  <c r="M6" i="6" s="1"/>
  <c r="C6" i="6"/>
  <c r="F6" i="6" s="1"/>
  <c r="H5" i="4"/>
  <c r="B9" i="4"/>
  <c r="H3" i="4"/>
  <c r="H3" i="5"/>
  <c r="H16" i="5" s="1"/>
  <c r="D9" i="4"/>
  <c r="G5" i="6" l="1"/>
  <c r="H5" i="6"/>
  <c r="E6" i="6"/>
  <c r="H6" i="6"/>
  <c r="M3" i="6"/>
  <c r="J3" i="1"/>
  <c r="H16" i="4"/>
  <c r="L7" i="6"/>
  <c r="L8" i="6" s="1"/>
  <c r="D6" i="6"/>
  <c r="C9" i="4"/>
  <c r="E9" i="4" s="1"/>
  <c r="D10" i="5"/>
  <c r="C10" i="5" s="1"/>
  <c r="E10" i="5" s="1"/>
  <c r="D11" i="5" s="1"/>
  <c r="I3" i="5"/>
  <c r="I5" i="6" l="1"/>
  <c r="K5" i="6"/>
  <c r="J5" i="1" s="1"/>
  <c r="J5" i="6"/>
  <c r="I5" i="1" s="1"/>
  <c r="G6" i="6"/>
  <c r="I6" i="6" s="1"/>
  <c r="B11" i="5"/>
  <c r="C11" i="5" s="1"/>
  <c r="E11" i="5" s="1"/>
  <c r="D12" i="5" s="1"/>
  <c r="I16" i="5"/>
  <c r="H17" i="5" s="1"/>
  <c r="B10" i="4"/>
  <c r="D10" i="4"/>
  <c r="J6" i="6" l="1"/>
  <c r="K6" i="6"/>
  <c r="K7" i="6" s="1"/>
  <c r="C10" i="4"/>
  <c r="E10" i="4" s="1"/>
  <c r="D11" i="4" s="1"/>
  <c r="M4" i="6"/>
  <c r="M7" i="6" s="1"/>
  <c r="M8" i="6" s="1"/>
  <c r="J4" i="1"/>
  <c r="I6" i="1"/>
  <c r="I7" i="1" s="1"/>
  <c r="I8" i="1" s="1"/>
  <c r="I7" i="6"/>
  <c r="I8" i="6" s="1"/>
  <c r="B12" i="5"/>
  <c r="C12" i="5" s="1"/>
  <c r="E12" i="5" s="1"/>
  <c r="K8" i="6" l="1"/>
  <c r="J6" i="1"/>
  <c r="J7" i="1" s="1"/>
  <c r="J8" i="1" s="1"/>
  <c r="B11" i="4"/>
  <c r="C11" i="4" s="1"/>
  <c r="E11" i="4" s="1"/>
  <c r="D13" i="5"/>
  <c r="B13" i="5"/>
  <c r="C13" i="5" s="1"/>
  <c r="E13" i="5" s="1"/>
  <c r="B14" i="5" s="1"/>
  <c r="D14" i="5" l="1"/>
  <c r="D16" i="5" s="1"/>
  <c r="D17" i="5" s="1"/>
  <c r="D18" i="5" s="1"/>
  <c r="D12" i="4"/>
  <c r="B12" i="4"/>
  <c r="G20" i="5" l="1"/>
  <c r="G19" i="5"/>
  <c r="C12" i="4"/>
  <c r="E12" i="4" s="1"/>
  <c r="B13" i="4" s="1"/>
  <c r="C14" i="5"/>
  <c r="E14" i="5" s="1"/>
  <c r="D13" i="4" l="1"/>
  <c r="C13" i="4"/>
  <c r="E13" i="4" s="1"/>
  <c r="D14" i="4" l="1"/>
  <c r="D16" i="4" s="1"/>
  <c r="D17" i="4" s="1"/>
  <c r="B14" i="4"/>
  <c r="C14" i="4" l="1"/>
  <c r="E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Rojas Reyes</author>
  </authors>
  <commentList>
    <comment ref="I9" authorId="0" shapeId="0" xr:uid="{AEE4CA9F-CFB9-4E1C-8679-223E4A3E53DE}">
      <text>
        <r>
          <rPr>
            <b/>
            <sz val="9"/>
            <color indexed="81"/>
            <rFont val="Tahoma"/>
            <family val="2"/>
          </rPr>
          <t>Juan Carlos Rojas Reyes:</t>
        </r>
        <r>
          <rPr>
            <sz val="9"/>
            <color indexed="81"/>
            <rFont val="Tahoma"/>
            <family val="2"/>
          </rPr>
          <t xml:space="preserve">
El anexo B genera continuidad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Rojas Reyes</author>
  </authors>
  <commentList>
    <comment ref="I6" authorId="0" shapeId="0" xr:uid="{ECF88117-7229-4A67-A420-9212E4C8475A}">
      <text>
        <r>
          <rPr>
            <b/>
            <sz val="9"/>
            <color indexed="81"/>
            <rFont val="Tahoma"/>
            <family val="2"/>
          </rPr>
          <t>Juan Carlos Rojas Reyes:</t>
        </r>
        <r>
          <rPr>
            <sz val="9"/>
            <color indexed="81"/>
            <rFont val="Tahoma"/>
            <family val="2"/>
          </rPr>
          <t xml:space="preserve">
es distinto en casi todos los casos es mes o fracion, se calcula desde la fecha de giro hasta la fecha de la siguiente liquidación</t>
        </r>
      </text>
    </comment>
  </commentList>
</comments>
</file>

<file path=xl/sharedStrings.xml><?xml version="1.0" encoding="utf-8"?>
<sst xmlns="http://schemas.openxmlformats.org/spreadsheetml/2006/main" count="78" uniqueCount="57">
  <si>
    <t>Criterios</t>
  </si>
  <si>
    <t>Puntos (tasa de negociación-IPC)</t>
  </si>
  <si>
    <t>Puntos Tasa equivalente MV</t>
  </si>
  <si>
    <t>Periodicidad (semestral 6 anual 12)</t>
  </si>
  <si>
    <t>Porcentaje de pago línea en estudios</t>
  </si>
  <si>
    <t># Giro</t>
  </si>
  <si>
    <t>Giro</t>
  </si>
  <si>
    <t xml:space="preserve">Capital Exigible </t>
  </si>
  <si>
    <t>Capital No exigible</t>
  </si>
  <si>
    <t>Capital No exigible acumulado</t>
  </si>
  <si>
    <t>Total Contribución</t>
  </si>
  <si>
    <t>Plan de pagos en estudio</t>
  </si>
  <si>
    <t>Capital Exigible</t>
  </si>
  <si>
    <t>Capital No Exigible</t>
  </si>
  <si>
    <t>Puntos</t>
  </si>
  <si>
    <t>Tasa</t>
  </si>
  <si>
    <t>Meses</t>
  </si>
  <si>
    <t># Cuota</t>
  </si>
  <si>
    <t xml:space="preserve"> Varor Cuota</t>
  </si>
  <si>
    <t>Capital</t>
  </si>
  <si>
    <t>Inte Ct</t>
  </si>
  <si>
    <t>Saldo</t>
  </si>
  <si>
    <t>Interes</t>
  </si>
  <si>
    <t>Ultimo Giro</t>
  </si>
  <si>
    <t>Giros anteriores</t>
  </si>
  <si>
    <t>Icetex</t>
  </si>
  <si>
    <t>Ies</t>
  </si>
  <si>
    <t>Tasa Fija Solo 2024</t>
  </si>
  <si>
    <t>2023 y 2023</t>
  </si>
  <si>
    <t>Total aporte IES</t>
  </si>
  <si>
    <t>Factor1</t>
  </si>
  <si>
    <t>Factor2</t>
  </si>
  <si>
    <t>Factor3</t>
  </si>
  <si>
    <t>25% Icetex</t>
  </si>
  <si>
    <t>75% Ies</t>
  </si>
  <si>
    <t>evento ciumplido</t>
  </si>
  <si>
    <t>1 Giro</t>
  </si>
  <si>
    <t>2023-1</t>
  </si>
  <si>
    <t>2023-2</t>
  </si>
  <si>
    <t>2024-1</t>
  </si>
  <si>
    <t>2024-2</t>
  </si>
  <si>
    <t>2 Giro</t>
  </si>
  <si>
    <t>3 Giro</t>
  </si>
  <si>
    <t>4 Giro</t>
  </si>
  <si>
    <t>Aporte IES</t>
  </si>
  <si>
    <t>IES</t>
  </si>
  <si>
    <t>Valor</t>
  </si>
  <si>
    <t>Interés Corto Plazo Factor 1</t>
  </si>
  <si>
    <t>Interés largo plazo Factor 2</t>
  </si>
  <si>
    <t>Interés largo acumulado Factor 3</t>
  </si>
  <si>
    <t>Periodo</t>
  </si>
  <si>
    <t>Porcentaje Fijo</t>
  </si>
  <si>
    <t>Anexo A</t>
  </si>
  <si>
    <t>Icetex el icetex asume el 25%</t>
  </si>
  <si>
    <r>
      <rPr>
        <b/>
        <sz val="11"/>
        <color theme="1"/>
        <rFont val="Calibri"/>
        <family val="2"/>
        <scheme val="minor"/>
      </rPr>
      <t>Simulador Financiero para Fines Pedagógicos: Supuestos y Consideraciones</t>
    </r>
    <r>
      <rPr>
        <sz val="11"/>
        <color theme="1"/>
        <rFont val="Calibri"/>
        <family val="2"/>
        <scheme val="minor"/>
      </rPr>
      <t xml:space="preserve">
Este simulador ha sido diseñado con fines pedagógicos, con el objetivo de proporcionar una herramienta didáctica que permita comprender y analizar escenarios financieros específicos. A continuación, se detallan los supuestos clave que sustentan el funcionamiento de este simulador:
</t>
    </r>
    <r>
      <rPr>
        <b/>
        <sz val="11"/>
        <color theme="1"/>
        <rFont val="Calibri"/>
        <family val="2"/>
        <scheme val="minor"/>
      </rPr>
      <t>Frecuencia de Giros:</t>
    </r>
    <r>
      <rPr>
        <sz val="11"/>
        <color theme="1"/>
        <rFont val="Calibri"/>
        <family val="2"/>
        <scheme val="minor"/>
      </rPr>
      <t xml:space="preserve">
Los giros se efectúan cada 6 meses, estableciendo un periodo regular de ajuste.
</t>
    </r>
    <r>
      <rPr>
        <b/>
        <sz val="11"/>
        <color theme="1"/>
        <rFont val="Calibri"/>
        <family val="2"/>
        <scheme val="minor"/>
      </rPr>
      <t>Abonos a Capital:</t>
    </r>
    <r>
      <rPr>
        <sz val="11"/>
        <color theme="1"/>
        <rFont val="Calibri"/>
        <family val="2"/>
        <scheme val="minor"/>
      </rPr>
      <t xml:space="preserve">
No se consideran abonos a capital en el capital acumulado.
</t>
    </r>
    <r>
      <rPr>
        <b/>
        <sz val="11"/>
        <color theme="1"/>
        <rFont val="Calibri"/>
        <family val="2"/>
        <scheme val="minor"/>
      </rPr>
      <t>Continuidad de la Contribución IES:</t>
    </r>
    <r>
      <rPr>
        <sz val="11"/>
        <color theme="1"/>
        <rFont val="Calibri"/>
        <family val="2"/>
        <scheme val="minor"/>
      </rPr>
      <t xml:space="preserve">
El simulador garantiza la continuidad de la contribución IES y su transición a aporte IES a lo largo del periodo de análisis.
</t>
    </r>
    <r>
      <rPr>
        <b/>
        <sz val="11"/>
        <color theme="1"/>
        <rFont val="Calibri"/>
        <family val="2"/>
        <scheme val="minor"/>
      </rPr>
      <t>Liquidación de Cartera con IPC+0:</t>
    </r>
    <r>
      <rPr>
        <sz val="11"/>
        <color theme="1"/>
        <rFont val="Calibri"/>
        <family val="2"/>
        <scheme val="minor"/>
      </rPr>
      <t xml:space="preserve">
Se asume que el beneficiario liquidará su cartera con la tasa de inflación (IPC) más un margen adicional del 0%.
</t>
    </r>
    <r>
      <rPr>
        <b/>
        <sz val="11"/>
        <color theme="1"/>
        <rFont val="Calibri"/>
        <family val="2"/>
        <scheme val="minor"/>
      </rPr>
      <t>Escenario Crítico</t>
    </r>
    <r>
      <rPr>
        <sz val="11"/>
        <color theme="1"/>
        <rFont val="Calibri"/>
        <family val="2"/>
        <scheme val="minor"/>
      </rPr>
      <t xml:space="preserve">:
Este escenario considera dos giros de contribución, así como los dos nuevos giros del convenio aporte IES (2024 duración del convenio). Los porcentajes presentados en este contexto representan el escenario más acido, ya que cualquier reducción en el número de giros puede afectar dichos porcentajes (a la baja).
</t>
    </r>
    <r>
      <rPr>
        <b/>
        <sz val="11"/>
        <color theme="1"/>
        <rFont val="Calibri"/>
        <family val="2"/>
        <scheme val="minor"/>
      </rPr>
      <t>Porcentaje Fijo según Anexo A</t>
    </r>
    <r>
      <rPr>
        <sz val="11"/>
        <color theme="1"/>
        <rFont val="Calibri"/>
        <family val="2"/>
        <scheme val="minor"/>
      </rPr>
      <t xml:space="preserve">:
El porcentaje fijo utilizado en el simulador corresponde al establecido en el Anexo A para créditos de mediano plazo, siendo del 13.34%.
</t>
    </r>
    <r>
      <rPr>
        <b/>
        <sz val="11"/>
        <color theme="1"/>
        <rFont val="Calibri"/>
        <family val="2"/>
        <scheme val="minor"/>
      </rPr>
      <t>Dinámica Variable:</t>
    </r>
    <r>
      <rPr>
        <sz val="11"/>
        <color theme="1"/>
        <rFont val="Calibri"/>
        <family val="2"/>
        <scheme val="minor"/>
      </rPr>
      <t xml:space="preserve">
Es importante destacar que este simulador es dinámico y los datos, así como los porcentajes, pueden cambiar de acuerdo con la variabilidad en la dinámica de giros. Se recomienda utilizar el simulador en un contexto educativo para comprender las diferencias entre los dos anexos.
En resumen, este simulador ofrece una representación simplificada pero educativa de escenarios financieros específicos, permitiendo a los usuarios explorar y comprender mejor los efectos de diferentes variables en cada anexo de aporte IES en el desarrollo de un plan financiero.</t>
    </r>
  </si>
  <si>
    <t>Anexo B + Contribución IES (2023)</t>
  </si>
  <si>
    <t>Anexo A + Contribución IES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</si>
</sst>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0.0%"/>
    <numFmt numFmtId="165" formatCode="0.0000"/>
    <numFmt numFmtId="166" formatCode="_-&quot;$&quot;\ * #,##0.00_-;\-&quot;$&quot;\ * #,##0.00_-;_-&quot;$&quot;\ * &quot;-&quot;????_-;_-@_-"/>
  </numFmts>
  <fonts count="10"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sz val="9"/>
      <color indexed="81"/>
      <name val="Tahoma"/>
      <family val="2"/>
    </font>
    <font>
      <b/>
      <sz val="9"/>
      <color indexed="81"/>
      <name val="Tahoma"/>
      <family val="2"/>
    </font>
    <font>
      <sz val="8"/>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2" xfId="0" applyBorder="1"/>
    <xf numFmtId="0" fontId="0" fillId="3" borderId="2" xfId="0" applyFill="1" applyBorder="1"/>
    <xf numFmtId="44" fontId="0" fillId="0" borderId="0" xfId="0" applyNumberFormat="1"/>
    <xf numFmtId="9" fontId="0" fillId="0" borderId="0" xfId="0" applyNumberFormat="1"/>
    <xf numFmtId="8" fontId="0" fillId="0" borderId="0" xfId="0" applyNumberFormat="1"/>
    <xf numFmtId="44" fontId="0" fillId="0" borderId="2" xfId="1" applyFont="1" applyBorder="1"/>
    <xf numFmtId="44" fontId="0" fillId="0" borderId="2" xfId="0" applyNumberFormat="1" applyBorder="1"/>
    <xf numFmtId="44" fontId="0" fillId="4" borderId="2" xfId="0" applyNumberFormat="1" applyFill="1" applyBorder="1"/>
    <xf numFmtId="10" fontId="0" fillId="0" borderId="0" xfId="2" applyNumberFormat="1" applyFont="1"/>
    <xf numFmtId="44" fontId="0" fillId="0" borderId="0" xfId="1" applyFont="1"/>
    <xf numFmtId="0" fontId="2" fillId="2" borderId="0" xfId="0" applyFont="1" applyFill="1" applyAlignment="1">
      <alignment horizontal="center" vertical="center"/>
    </xf>
    <xf numFmtId="165" fontId="0" fillId="0" borderId="0" xfId="0" applyNumberFormat="1"/>
    <xf numFmtId="166" fontId="0" fillId="0" borderId="0" xfId="0" applyNumberFormat="1"/>
    <xf numFmtId="8" fontId="0" fillId="0" borderId="2" xfId="0" applyNumberFormat="1" applyBorder="1"/>
    <xf numFmtId="166" fontId="0" fillId="0" borderId="2" xfId="0" applyNumberFormat="1" applyBorder="1"/>
    <xf numFmtId="165" fontId="0" fillId="0" borderId="2" xfId="0" applyNumberFormat="1" applyBorder="1"/>
    <xf numFmtId="0" fontId="0" fillId="0" borderId="0" xfId="0" applyAlignment="1">
      <alignment horizontal="center"/>
    </xf>
    <xf numFmtId="10" fontId="0" fillId="3" borderId="2" xfId="2" applyNumberFormat="1" applyFont="1" applyFill="1" applyBorder="1"/>
    <xf numFmtId="44" fontId="0" fillId="0" borderId="4" xfId="0" applyNumberFormat="1" applyBorder="1"/>
    <xf numFmtId="44" fontId="0" fillId="3" borderId="4" xfId="0" applyNumberFormat="1" applyFill="1" applyBorder="1"/>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xf>
    <xf numFmtId="0" fontId="0" fillId="0" borderId="0" xfId="0" applyAlignment="1">
      <alignment horizontal="center"/>
    </xf>
    <xf numFmtId="44" fontId="0" fillId="0" borderId="3" xfId="0" applyNumberFormat="1" applyBorder="1" applyAlignment="1">
      <alignment horizontal="center"/>
    </xf>
    <xf numFmtId="0" fontId="0" fillId="0" borderId="3" xfId="0" applyBorder="1" applyAlignment="1">
      <alignment horizontal="center"/>
    </xf>
    <xf numFmtId="44" fontId="6" fillId="0" borderId="0" xfId="0" applyNumberFormat="1" applyFont="1" applyAlignment="1">
      <alignment horizontal="center"/>
    </xf>
    <xf numFmtId="0" fontId="6" fillId="0" borderId="0" xfId="0" applyFont="1" applyAlignment="1">
      <alignment horizontal="center"/>
    </xf>
    <xf numFmtId="10" fontId="0" fillId="0" borderId="2" xfId="2" applyNumberFormat="1" applyFont="1" applyBorder="1"/>
    <xf numFmtId="166" fontId="0" fillId="0" borderId="5" xfId="0" applyNumberFormat="1" applyBorder="1"/>
    <xf numFmtId="44" fontId="0" fillId="0" borderId="5" xfId="0" applyNumberFormat="1" applyBorder="1"/>
    <xf numFmtId="44" fontId="5" fillId="0" borderId="2" xfId="0" applyNumberFormat="1" applyFont="1" applyBorder="1" applyAlignment="1">
      <alignment horizontal="center"/>
    </xf>
    <xf numFmtId="0" fontId="5" fillId="0" borderId="2" xfId="0" applyFont="1" applyBorder="1" applyAlignment="1">
      <alignment horizontal="center"/>
    </xf>
    <xf numFmtId="44" fontId="4" fillId="0" borderId="0" xfId="0" applyNumberFormat="1" applyFont="1"/>
    <xf numFmtId="164" fontId="3" fillId="0" borderId="0" xfId="2" applyNumberFormat="1" applyFont="1" applyAlignment="1">
      <alignment vertical="center"/>
    </xf>
    <xf numFmtId="10" fontId="0" fillId="0" borderId="0" xfId="2" applyNumberFormat="1" applyFont="1" applyAlignment="1">
      <alignment vertical="center"/>
    </xf>
    <xf numFmtId="9" fontId="0" fillId="3" borderId="2" xfId="0" applyNumberFormat="1" applyFill="1" applyBorder="1"/>
    <xf numFmtId="0" fontId="2" fillId="2" borderId="2" xfId="0" applyFont="1" applyFill="1" applyBorder="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10" fontId="4" fillId="0" borderId="2" xfId="2" applyNumberFormat="1" applyFont="1" applyBorder="1"/>
    <xf numFmtId="10" fontId="4" fillId="0" borderId="2" xfId="2" applyNumberFormat="1" applyFont="1" applyBorder="1" applyAlignment="1">
      <alignment horizontal="center" vertical="center"/>
    </xf>
    <xf numFmtId="0" fontId="0" fillId="0" borderId="2" xfId="0" applyBorder="1" applyAlignment="1">
      <alignment horizont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731520</xdr:colOff>
      <xdr:row>20</xdr:row>
      <xdr:rowOff>53340</xdr:rowOff>
    </xdr:from>
    <xdr:to>
      <xdr:col>8</xdr:col>
      <xdr:colOff>669619</xdr:colOff>
      <xdr:row>24</xdr:row>
      <xdr:rowOff>17058</xdr:rowOff>
    </xdr:to>
    <xdr:pic>
      <xdr:nvPicPr>
        <xdr:cNvPr id="2" name="Imagen 1">
          <a:extLst>
            <a:ext uri="{FF2B5EF4-FFF2-40B4-BE49-F238E27FC236}">
              <a16:creationId xmlns:a16="http://schemas.microsoft.com/office/drawing/2014/main" id="{D802F86C-F64C-4DED-921F-77D86A391B64}"/>
            </a:ext>
          </a:extLst>
        </xdr:cNvPr>
        <xdr:cNvPicPr>
          <a:picLocks noChangeAspect="1"/>
        </xdr:cNvPicPr>
      </xdr:nvPicPr>
      <xdr:blipFill>
        <a:blip xmlns:r="http://schemas.openxmlformats.org/officeDocument/2006/relationships" r:embed="rId1"/>
        <a:stretch>
          <a:fillRect/>
        </a:stretch>
      </xdr:blipFill>
      <xdr:spPr>
        <a:xfrm>
          <a:off x="731520" y="3855720"/>
          <a:ext cx="7523809" cy="695238"/>
        </a:xfrm>
        <a:prstGeom prst="rect">
          <a:avLst/>
        </a:prstGeom>
      </xdr:spPr>
    </xdr:pic>
    <xdr:clientData/>
  </xdr:twoCellAnchor>
  <xdr:twoCellAnchor>
    <xdr:from>
      <xdr:col>1</xdr:col>
      <xdr:colOff>967740</xdr:colOff>
      <xdr:row>2</xdr:row>
      <xdr:rowOff>83820</xdr:rowOff>
    </xdr:from>
    <xdr:to>
      <xdr:col>5</xdr:col>
      <xdr:colOff>60960</xdr:colOff>
      <xdr:row>21</xdr:row>
      <xdr:rowOff>144780</xdr:rowOff>
    </xdr:to>
    <xdr:cxnSp macro="">
      <xdr:nvCxnSpPr>
        <xdr:cNvPr id="4" name="Conector recto de flecha 3">
          <a:extLst>
            <a:ext uri="{FF2B5EF4-FFF2-40B4-BE49-F238E27FC236}">
              <a16:creationId xmlns:a16="http://schemas.microsoft.com/office/drawing/2014/main" id="{CC7705E8-94C9-03AE-E140-A96D5205B9C8}"/>
            </a:ext>
          </a:extLst>
        </xdr:cNvPr>
        <xdr:cNvCxnSpPr/>
      </xdr:nvCxnSpPr>
      <xdr:spPr>
        <a:xfrm flipH="1" flipV="1">
          <a:off x="1874520" y="449580"/>
          <a:ext cx="2865120" cy="36804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967740</xdr:colOff>
      <xdr:row>4</xdr:row>
      <xdr:rowOff>83820</xdr:rowOff>
    </xdr:from>
    <xdr:to>
      <xdr:col>5</xdr:col>
      <xdr:colOff>472440</xdr:colOff>
      <xdr:row>21</xdr:row>
      <xdr:rowOff>160020</xdr:rowOff>
    </xdr:to>
    <xdr:cxnSp macro="">
      <xdr:nvCxnSpPr>
        <xdr:cNvPr id="5" name="Conector recto de flecha 4">
          <a:extLst>
            <a:ext uri="{FF2B5EF4-FFF2-40B4-BE49-F238E27FC236}">
              <a16:creationId xmlns:a16="http://schemas.microsoft.com/office/drawing/2014/main" id="{61F298CC-D3C8-423F-BBEB-E854B5D83373}"/>
            </a:ext>
          </a:extLst>
        </xdr:cNvPr>
        <xdr:cNvCxnSpPr/>
      </xdr:nvCxnSpPr>
      <xdr:spPr>
        <a:xfrm flipH="1" flipV="1">
          <a:off x="1874520" y="815340"/>
          <a:ext cx="3276600" cy="33299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891540</xdr:colOff>
      <xdr:row>5</xdr:row>
      <xdr:rowOff>144780</xdr:rowOff>
    </xdr:from>
    <xdr:to>
      <xdr:col>6</xdr:col>
      <xdr:colOff>106680</xdr:colOff>
      <xdr:row>21</xdr:row>
      <xdr:rowOff>121920</xdr:rowOff>
    </xdr:to>
    <xdr:cxnSp macro="">
      <xdr:nvCxnSpPr>
        <xdr:cNvPr id="8" name="Conector recto de flecha 7">
          <a:extLst>
            <a:ext uri="{FF2B5EF4-FFF2-40B4-BE49-F238E27FC236}">
              <a16:creationId xmlns:a16="http://schemas.microsoft.com/office/drawing/2014/main" id="{7369C413-9D43-4C58-8241-AC018CFF4656}"/>
            </a:ext>
          </a:extLst>
        </xdr:cNvPr>
        <xdr:cNvCxnSpPr/>
      </xdr:nvCxnSpPr>
      <xdr:spPr>
        <a:xfrm flipH="1" flipV="1">
          <a:off x="1798320" y="1059180"/>
          <a:ext cx="3779520"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472440</xdr:colOff>
      <xdr:row>2</xdr:row>
      <xdr:rowOff>0</xdr:rowOff>
    </xdr:from>
    <xdr:to>
      <xdr:col>18</xdr:col>
      <xdr:colOff>642878</xdr:colOff>
      <xdr:row>16</xdr:row>
      <xdr:rowOff>230156</xdr:rowOff>
    </xdr:to>
    <xdr:pic>
      <xdr:nvPicPr>
        <xdr:cNvPr id="11" name="Imagen 10">
          <a:extLst>
            <a:ext uri="{FF2B5EF4-FFF2-40B4-BE49-F238E27FC236}">
              <a16:creationId xmlns:a16="http://schemas.microsoft.com/office/drawing/2014/main" id="{15BDE352-2CA2-3B0A-2FBE-8E7FFD8CD17A}"/>
            </a:ext>
          </a:extLst>
        </xdr:cNvPr>
        <xdr:cNvPicPr>
          <a:picLocks noChangeAspect="1"/>
        </xdr:cNvPicPr>
      </xdr:nvPicPr>
      <xdr:blipFill>
        <a:blip xmlns:r="http://schemas.openxmlformats.org/officeDocument/2006/relationships" r:embed="rId2"/>
        <a:stretch>
          <a:fillRect/>
        </a:stretch>
      </xdr:blipFill>
      <xdr:spPr>
        <a:xfrm>
          <a:off x="8039100" y="365760"/>
          <a:ext cx="8095238" cy="2790476"/>
        </a:xfrm>
        <a:prstGeom prst="rect">
          <a:avLst/>
        </a:prstGeom>
      </xdr:spPr>
    </xdr:pic>
    <xdr:clientData/>
  </xdr:twoCellAnchor>
  <xdr:twoCellAnchor>
    <xdr:from>
      <xdr:col>6</xdr:col>
      <xdr:colOff>708660</xdr:colOff>
      <xdr:row>2</xdr:row>
      <xdr:rowOff>91440</xdr:rowOff>
    </xdr:from>
    <xdr:to>
      <xdr:col>7</xdr:col>
      <xdr:colOff>30480</xdr:colOff>
      <xdr:row>21</xdr:row>
      <xdr:rowOff>137160</xdr:rowOff>
    </xdr:to>
    <xdr:cxnSp macro="">
      <xdr:nvCxnSpPr>
        <xdr:cNvPr id="12" name="Conector recto de flecha 11">
          <a:extLst>
            <a:ext uri="{FF2B5EF4-FFF2-40B4-BE49-F238E27FC236}">
              <a16:creationId xmlns:a16="http://schemas.microsoft.com/office/drawing/2014/main" id="{E421A112-AC83-4574-BC06-C252774BC479}"/>
            </a:ext>
          </a:extLst>
        </xdr:cNvPr>
        <xdr:cNvCxnSpPr/>
      </xdr:nvCxnSpPr>
      <xdr:spPr>
        <a:xfrm flipV="1">
          <a:off x="6179820" y="457200"/>
          <a:ext cx="434340" cy="36652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xdr:row>
      <xdr:rowOff>121920</xdr:rowOff>
    </xdr:from>
    <xdr:to>
      <xdr:col>7</xdr:col>
      <xdr:colOff>190500</xdr:colOff>
      <xdr:row>21</xdr:row>
      <xdr:rowOff>160020</xdr:rowOff>
    </xdr:to>
    <xdr:cxnSp macro="">
      <xdr:nvCxnSpPr>
        <xdr:cNvPr id="15" name="Conector recto de flecha 14">
          <a:extLst>
            <a:ext uri="{FF2B5EF4-FFF2-40B4-BE49-F238E27FC236}">
              <a16:creationId xmlns:a16="http://schemas.microsoft.com/office/drawing/2014/main" id="{A51B283C-E2D0-480A-B3EC-A08A56C0252A}"/>
            </a:ext>
          </a:extLst>
        </xdr:cNvPr>
        <xdr:cNvCxnSpPr/>
      </xdr:nvCxnSpPr>
      <xdr:spPr>
        <a:xfrm flipV="1">
          <a:off x="6583680" y="853440"/>
          <a:ext cx="190500" cy="32918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350520</xdr:colOff>
      <xdr:row>5</xdr:row>
      <xdr:rowOff>83820</xdr:rowOff>
    </xdr:from>
    <xdr:to>
      <xdr:col>7</xdr:col>
      <xdr:colOff>769620</xdr:colOff>
      <xdr:row>21</xdr:row>
      <xdr:rowOff>83820</xdr:rowOff>
    </xdr:to>
    <xdr:cxnSp macro="">
      <xdr:nvCxnSpPr>
        <xdr:cNvPr id="18" name="Conector recto de flecha 17">
          <a:extLst>
            <a:ext uri="{FF2B5EF4-FFF2-40B4-BE49-F238E27FC236}">
              <a16:creationId xmlns:a16="http://schemas.microsoft.com/office/drawing/2014/main" id="{651FB398-ED52-48AF-B334-E20072CB8999}"/>
            </a:ext>
          </a:extLst>
        </xdr:cNvPr>
        <xdr:cNvCxnSpPr/>
      </xdr:nvCxnSpPr>
      <xdr:spPr>
        <a:xfrm flipV="1">
          <a:off x="6934200" y="998220"/>
          <a:ext cx="419100" cy="30708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449580</xdr:colOff>
      <xdr:row>20</xdr:row>
      <xdr:rowOff>53340</xdr:rowOff>
    </xdr:from>
    <xdr:to>
      <xdr:col>9</xdr:col>
      <xdr:colOff>206700</xdr:colOff>
      <xdr:row>24</xdr:row>
      <xdr:rowOff>64677</xdr:rowOff>
    </xdr:to>
    <xdr:pic>
      <xdr:nvPicPr>
        <xdr:cNvPr id="2" name="Imagen 1">
          <a:extLst>
            <a:ext uri="{FF2B5EF4-FFF2-40B4-BE49-F238E27FC236}">
              <a16:creationId xmlns:a16="http://schemas.microsoft.com/office/drawing/2014/main" id="{C7F9C314-8812-A6EB-1097-F5B6BCB2257B}"/>
            </a:ext>
          </a:extLst>
        </xdr:cNvPr>
        <xdr:cNvPicPr>
          <a:picLocks noChangeAspect="1"/>
        </xdr:cNvPicPr>
      </xdr:nvPicPr>
      <xdr:blipFill>
        <a:blip xmlns:r="http://schemas.openxmlformats.org/officeDocument/2006/relationships" r:embed="rId1"/>
        <a:stretch>
          <a:fillRect/>
        </a:stretch>
      </xdr:blipFill>
      <xdr:spPr>
        <a:xfrm>
          <a:off x="1356360" y="3924300"/>
          <a:ext cx="7561905" cy="742857"/>
        </a:xfrm>
        <a:prstGeom prst="rect">
          <a:avLst/>
        </a:prstGeom>
      </xdr:spPr>
    </xdr:pic>
    <xdr:clientData/>
  </xdr:twoCellAnchor>
  <xdr:twoCellAnchor>
    <xdr:from>
      <xdr:col>2</xdr:col>
      <xdr:colOff>22860</xdr:colOff>
      <xdr:row>2</xdr:row>
      <xdr:rowOff>99060</xdr:rowOff>
    </xdr:from>
    <xdr:to>
      <xdr:col>4</xdr:col>
      <xdr:colOff>746760</xdr:colOff>
      <xdr:row>22</xdr:row>
      <xdr:rowOff>15240</xdr:rowOff>
    </xdr:to>
    <xdr:cxnSp macro="">
      <xdr:nvCxnSpPr>
        <xdr:cNvPr id="3" name="Conector recto de flecha 2">
          <a:extLst>
            <a:ext uri="{FF2B5EF4-FFF2-40B4-BE49-F238E27FC236}">
              <a16:creationId xmlns:a16="http://schemas.microsoft.com/office/drawing/2014/main" id="{546E4F97-8536-48EC-A10A-049B923CC216}"/>
            </a:ext>
          </a:extLst>
        </xdr:cNvPr>
        <xdr:cNvCxnSpPr/>
      </xdr:nvCxnSpPr>
      <xdr:spPr>
        <a:xfrm flipH="1" flipV="1">
          <a:off x="1912620" y="464820"/>
          <a:ext cx="2529840" cy="37871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975360</xdr:colOff>
      <xdr:row>4</xdr:row>
      <xdr:rowOff>114300</xdr:rowOff>
    </xdr:from>
    <xdr:to>
      <xdr:col>5</xdr:col>
      <xdr:colOff>129540</xdr:colOff>
      <xdr:row>22</xdr:row>
      <xdr:rowOff>0</xdr:rowOff>
    </xdr:to>
    <xdr:cxnSp macro="">
      <xdr:nvCxnSpPr>
        <xdr:cNvPr id="6" name="Conector recto de flecha 5">
          <a:extLst>
            <a:ext uri="{FF2B5EF4-FFF2-40B4-BE49-F238E27FC236}">
              <a16:creationId xmlns:a16="http://schemas.microsoft.com/office/drawing/2014/main" id="{C2FF62E3-FA96-4177-AC9E-781AF0B6D52D}"/>
            </a:ext>
          </a:extLst>
        </xdr:cNvPr>
        <xdr:cNvCxnSpPr/>
      </xdr:nvCxnSpPr>
      <xdr:spPr>
        <a:xfrm flipH="1" flipV="1">
          <a:off x="1882140" y="845820"/>
          <a:ext cx="2926080" cy="3390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960120</xdr:colOff>
      <xdr:row>5</xdr:row>
      <xdr:rowOff>99060</xdr:rowOff>
    </xdr:from>
    <xdr:to>
      <xdr:col>5</xdr:col>
      <xdr:colOff>411480</xdr:colOff>
      <xdr:row>22</xdr:row>
      <xdr:rowOff>30480</xdr:rowOff>
    </xdr:to>
    <xdr:cxnSp macro="">
      <xdr:nvCxnSpPr>
        <xdr:cNvPr id="7" name="Conector recto de flecha 6">
          <a:extLst>
            <a:ext uri="{FF2B5EF4-FFF2-40B4-BE49-F238E27FC236}">
              <a16:creationId xmlns:a16="http://schemas.microsoft.com/office/drawing/2014/main" id="{5878C595-15A5-4378-8C32-088B3D29BC4C}"/>
            </a:ext>
          </a:extLst>
        </xdr:cNvPr>
        <xdr:cNvCxnSpPr/>
      </xdr:nvCxnSpPr>
      <xdr:spPr>
        <a:xfrm flipH="1" flipV="1">
          <a:off x="1866900" y="1013460"/>
          <a:ext cx="3223260" cy="3253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2</xdr:row>
      <xdr:rowOff>114300</xdr:rowOff>
    </xdr:from>
    <xdr:to>
      <xdr:col>7</xdr:col>
      <xdr:colOff>137160</xdr:colOff>
      <xdr:row>21</xdr:row>
      <xdr:rowOff>114300</xdr:rowOff>
    </xdr:to>
    <xdr:cxnSp macro="">
      <xdr:nvCxnSpPr>
        <xdr:cNvPr id="12" name="Conector recto de flecha 11">
          <a:extLst>
            <a:ext uri="{FF2B5EF4-FFF2-40B4-BE49-F238E27FC236}">
              <a16:creationId xmlns:a16="http://schemas.microsoft.com/office/drawing/2014/main" id="{7382B327-5BAE-4301-8287-04A254F68A57}"/>
            </a:ext>
          </a:extLst>
        </xdr:cNvPr>
        <xdr:cNvCxnSpPr/>
      </xdr:nvCxnSpPr>
      <xdr:spPr>
        <a:xfrm flipV="1">
          <a:off x="5661660" y="480060"/>
          <a:ext cx="1059180" cy="36880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617220</xdr:colOff>
      <xdr:row>4</xdr:row>
      <xdr:rowOff>99060</xdr:rowOff>
    </xdr:from>
    <xdr:to>
      <xdr:col>7</xdr:col>
      <xdr:colOff>167640</xdr:colOff>
      <xdr:row>22</xdr:row>
      <xdr:rowOff>0</xdr:rowOff>
    </xdr:to>
    <xdr:cxnSp macro="">
      <xdr:nvCxnSpPr>
        <xdr:cNvPr id="16" name="Conector recto de flecha 15">
          <a:extLst>
            <a:ext uri="{FF2B5EF4-FFF2-40B4-BE49-F238E27FC236}">
              <a16:creationId xmlns:a16="http://schemas.microsoft.com/office/drawing/2014/main" id="{4EA0D891-A3AD-4355-B2C9-1B13E9951231}"/>
            </a:ext>
          </a:extLst>
        </xdr:cNvPr>
        <xdr:cNvCxnSpPr/>
      </xdr:nvCxnSpPr>
      <xdr:spPr>
        <a:xfrm flipV="1">
          <a:off x="6088380" y="830580"/>
          <a:ext cx="662940" cy="34061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937260</xdr:colOff>
      <xdr:row>5</xdr:row>
      <xdr:rowOff>45720</xdr:rowOff>
    </xdr:from>
    <xdr:to>
      <xdr:col>7</xdr:col>
      <xdr:colOff>853440</xdr:colOff>
      <xdr:row>21</xdr:row>
      <xdr:rowOff>160020</xdr:rowOff>
    </xdr:to>
    <xdr:cxnSp macro="">
      <xdr:nvCxnSpPr>
        <xdr:cNvPr id="19" name="Conector recto de flecha 18">
          <a:extLst>
            <a:ext uri="{FF2B5EF4-FFF2-40B4-BE49-F238E27FC236}">
              <a16:creationId xmlns:a16="http://schemas.microsoft.com/office/drawing/2014/main" id="{162F7CC7-F2B7-41A6-993E-3223F23F9B40}"/>
            </a:ext>
          </a:extLst>
        </xdr:cNvPr>
        <xdr:cNvCxnSpPr/>
      </xdr:nvCxnSpPr>
      <xdr:spPr>
        <a:xfrm flipV="1">
          <a:off x="6408420" y="960120"/>
          <a:ext cx="1028700" cy="3253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411480</xdr:colOff>
      <xdr:row>2</xdr:row>
      <xdr:rowOff>129540</xdr:rowOff>
    </xdr:from>
    <xdr:to>
      <xdr:col>8</xdr:col>
      <xdr:colOff>335280</xdr:colOff>
      <xdr:row>22</xdr:row>
      <xdr:rowOff>22860</xdr:rowOff>
    </xdr:to>
    <xdr:cxnSp macro="">
      <xdr:nvCxnSpPr>
        <xdr:cNvPr id="22" name="Conector recto de flecha 21">
          <a:extLst>
            <a:ext uri="{FF2B5EF4-FFF2-40B4-BE49-F238E27FC236}">
              <a16:creationId xmlns:a16="http://schemas.microsoft.com/office/drawing/2014/main" id="{1A767A16-DFA2-40AC-AA5D-454D5C76E3E9}"/>
            </a:ext>
          </a:extLst>
        </xdr:cNvPr>
        <xdr:cNvCxnSpPr/>
      </xdr:nvCxnSpPr>
      <xdr:spPr>
        <a:xfrm flipV="1">
          <a:off x="6995160" y="495300"/>
          <a:ext cx="906780" cy="37642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129540</xdr:colOff>
      <xdr:row>5</xdr:row>
      <xdr:rowOff>53340</xdr:rowOff>
    </xdr:from>
    <xdr:to>
      <xdr:col>8</xdr:col>
      <xdr:colOff>861060</xdr:colOff>
      <xdr:row>22</xdr:row>
      <xdr:rowOff>0</xdr:rowOff>
    </xdr:to>
    <xdr:cxnSp macro="">
      <xdr:nvCxnSpPr>
        <xdr:cNvPr id="25" name="Conector recto de flecha 24">
          <a:extLst>
            <a:ext uri="{FF2B5EF4-FFF2-40B4-BE49-F238E27FC236}">
              <a16:creationId xmlns:a16="http://schemas.microsoft.com/office/drawing/2014/main" id="{9072C2FE-FD62-4BB5-8482-7FD56F8172EA}"/>
            </a:ext>
          </a:extLst>
        </xdr:cNvPr>
        <xdr:cNvCxnSpPr/>
      </xdr:nvCxnSpPr>
      <xdr:spPr>
        <a:xfrm flipV="1">
          <a:off x="7696200" y="967740"/>
          <a:ext cx="731520" cy="32689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0</xdr:colOff>
      <xdr:row>3</xdr:row>
      <xdr:rowOff>0</xdr:rowOff>
    </xdr:from>
    <xdr:to>
      <xdr:col>20</xdr:col>
      <xdr:colOff>360914</xdr:colOff>
      <xdr:row>21</xdr:row>
      <xdr:rowOff>123371</xdr:rowOff>
    </xdr:to>
    <xdr:pic>
      <xdr:nvPicPr>
        <xdr:cNvPr id="28" name="Imagen 27" descr="Texto&#10;&#10;Descripción generada automáticamente">
          <a:extLst>
            <a:ext uri="{FF2B5EF4-FFF2-40B4-BE49-F238E27FC236}">
              <a16:creationId xmlns:a16="http://schemas.microsoft.com/office/drawing/2014/main" id="{9BE4898B-CA3E-922E-B481-D808B3296A0A}"/>
            </a:ext>
          </a:extLst>
        </xdr:cNvPr>
        <xdr:cNvPicPr>
          <a:picLocks noChangeAspect="1"/>
        </xdr:cNvPicPr>
      </xdr:nvPicPr>
      <xdr:blipFill>
        <a:blip xmlns:r="http://schemas.openxmlformats.org/officeDocument/2006/relationships" r:embed="rId2"/>
        <a:stretch>
          <a:fillRect/>
        </a:stretch>
      </xdr:blipFill>
      <xdr:spPr>
        <a:xfrm>
          <a:off x="9342120" y="548640"/>
          <a:ext cx="8285714" cy="3628571"/>
        </a:xfrm>
        <a:prstGeom prst="rect">
          <a:avLst/>
        </a:prstGeom>
      </xdr:spPr>
    </xdr:pic>
    <xdr:clientData/>
  </xdr:twoCellAnchor>
  <xdr:twoCellAnchor>
    <xdr:from>
      <xdr:col>7</xdr:col>
      <xdr:colOff>819150</xdr:colOff>
      <xdr:row>4</xdr:row>
      <xdr:rowOff>171450</xdr:rowOff>
    </xdr:from>
    <xdr:to>
      <xdr:col>8</xdr:col>
      <xdr:colOff>619125</xdr:colOff>
      <xdr:row>21</xdr:row>
      <xdr:rowOff>175260</xdr:rowOff>
    </xdr:to>
    <xdr:cxnSp macro="">
      <xdr:nvCxnSpPr>
        <xdr:cNvPr id="4" name="Conector recto de flecha 3">
          <a:extLst>
            <a:ext uri="{FF2B5EF4-FFF2-40B4-BE49-F238E27FC236}">
              <a16:creationId xmlns:a16="http://schemas.microsoft.com/office/drawing/2014/main" id="{C1A80C6F-676F-4447-B355-9CD0F74547A5}"/>
            </a:ext>
          </a:extLst>
        </xdr:cNvPr>
        <xdr:cNvCxnSpPr/>
      </xdr:nvCxnSpPr>
      <xdr:spPr>
        <a:xfrm flipV="1">
          <a:off x="7200900" y="933450"/>
          <a:ext cx="752475" cy="34518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19F37-5E81-4521-90DF-30E8CD967251}">
  <dimension ref="B1:Q49"/>
  <sheetViews>
    <sheetView tabSelected="1" zoomScale="110" zoomScaleNormal="110" workbookViewId="0"/>
  </sheetViews>
  <sheetFormatPr baseColWidth="10" defaultColWidth="11.42578125" defaultRowHeight="15" x14ac:dyDescent="0.25"/>
  <cols>
    <col min="1" max="1" width="2.140625" customWidth="1"/>
    <col min="2" max="2" width="34" bestFit="1" customWidth="1"/>
    <col min="3" max="3" width="6.140625" bestFit="1" customWidth="1"/>
    <col min="4" max="6" width="15.85546875" customWidth="1"/>
    <col min="7" max="8" width="17.7109375" customWidth="1"/>
    <col min="9" max="9" width="16.7109375" bestFit="1" customWidth="1"/>
    <col min="10" max="10" width="16.140625" customWidth="1"/>
    <col min="11" max="11" width="2.7109375" customWidth="1"/>
    <col min="12" max="12" width="31" bestFit="1" customWidth="1"/>
    <col min="13" max="13" width="26.7109375" bestFit="1" customWidth="1"/>
    <col min="14" max="14" width="17.28515625" bestFit="1" customWidth="1"/>
    <col min="15" max="15" width="14.7109375" bestFit="1" customWidth="1"/>
    <col min="17" max="17" width="14.5703125" bestFit="1" customWidth="1"/>
  </cols>
  <sheetData>
    <row r="1" spans="2:17" x14ac:dyDescent="0.25">
      <c r="H1" s="22" t="s">
        <v>51</v>
      </c>
      <c r="I1" s="22" t="s">
        <v>44</v>
      </c>
      <c r="J1" s="22"/>
      <c r="L1" s="22" t="s">
        <v>51</v>
      </c>
    </row>
    <row r="2" spans="2:17" x14ac:dyDescent="0.25">
      <c r="B2" s="25" t="s">
        <v>0</v>
      </c>
      <c r="C2" s="25"/>
      <c r="E2" s="40" t="s">
        <v>6</v>
      </c>
      <c r="F2" s="40" t="s">
        <v>46</v>
      </c>
      <c r="G2" s="40" t="s">
        <v>50</v>
      </c>
      <c r="H2" s="22"/>
      <c r="I2" s="40" t="s">
        <v>53</v>
      </c>
      <c r="J2" s="40" t="s">
        <v>45</v>
      </c>
      <c r="L2" s="22"/>
    </row>
    <row r="3" spans="2:17" x14ac:dyDescent="0.25">
      <c r="B3" s="1" t="s">
        <v>1</v>
      </c>
      <c r="C3" s="2">
        <v>9</v>
      </c>
      <c r="E3" s="1" t="s">
        <v>36</v>
      </c>
      <c r="F3" s="7">
        <f>Detalle!B3</f>
        <v>5000000</v>
      </c>
      <c r="G3" s="1" t="s">
        <v>37</v>
      </c>
      <c r="H3" s="1"/>
      <c r="I3" s="7">
        <f>Detalle!J3</f>
        <v>0</v>
      </c>
      <c r="J3" s="7">
        <f>Detalle!K3</f>
        <v>189225.98024568683</v>
      </c>
      <c r="L3" s="7">
        <f>J3</f>
        <v>189225.98024568683</v>
      </c>
    </row>
    <row r="4" spans="2:17" x14ac:dyDescent="0.25">
      <c r="B4" s="1" t="s">
        <v>2</v>
      </c>
      <c r="C4" s="18">
        <v>7.1999999999999998E-3</v>
      </c>
      <c r="D4" s="12"/>
      <c r="E4" s="1" t="s">
        <v>41</v>
      </c>
      <c r="F4" s="7">
        <f>Detalle!B4</f>
        <v>5611000</v>
      </c>
      <c r="G4" s="1" t="s">
        <v>38</v>
      </c>
      <c r="H4" s="1"/>
      <c r="I4" s="7">
        <f>Detalle!J4</f>
        <v>0</v>
      </c>
      <c r="J4" s="7">
        <f>Detalle!K4</f>
        <v>363549.39503171004</v>
      </c>
      <c r="L4" s="7">
        <f>J4</f>
        <v>363549.39503171004</v>
      </c>
    </row>
    <row r="5" spans="2:17" x14ac:dyDescent="0.25">
      <c r="B5" s="1" t="s">
        <v>3</v>
      </c>
      <c r="C5" s="2">
        <v>6</v>
      </c>
      <c r="E5" s="1" t="s">
        <v>42</v>
      </c>
      <c r="F5" s="7">
        <f>Detalle!B5</f>
        <v>6296664.2000000002</v>
      </c>
      <c r="G5" s="1" t="s">
        <v>39</v>
      </c>
      <c r="H5" s="7">
        <f>F5*0.1334</f>
        <v>839975.00427999999</v>
      </c>
      <c r="I5" s="7">
        <f>Detalle!J5</f>
        <v>139793.78277614631</v>
      </c>
      <c r="J5" s="7">
        <f>Detalle!K5</f>
        <v>419381.34832843894</v>
      </c>
      <c r="L5" s="7">
        <f>H5</f>
        <v>839975.00427999999</v>
      </c>
    </row>
    <row r="6" spans="2:17" x14ac:dyDescent="0.25">
      <c r="B6" s="1" t="s">
        <v>4</v>
      </c>
      <c r="C6" s="39">
        <v>0.3</v>
      </c>
      <c r="E6" s="1" t="s">
        <v>43</v>
      </c>
      <c r="F6" s="7">
        <f>Detalle!B6</f>
        <v>6296664.2000000002</v>
      </c>
      <c r="G6" s="1" t="s">
        <v>40</v>
      </c>
      <c r="H6" s="7">
        <f>F6*0.1334</f>
        <v>839975.00427999999</v>
      </c>
      <c r="I6" s="7">
        <f>Detalle!J6</f>
        <v>187396.56412814633</v>
      </c>
      <c r="J6" s="7">
        <f>Detalle!K6</f>
        <v>562189.69238443905</v>
      </c>
      <c r="L6" s="7">
        <f>H6</f>
        <v>839975.00427999999</v>
      </c>
      <c r="Q6" s="3"/>
    </row>
    <row r="7" spans="2:17" x14ac:dyDescent="0.25">
      <c r="C7" s="4"/>
      <c r="F7" s="7">
        <f>SUM(F3:F6)</f>
        <v>23204328.399999999</v>
      </c>
      <c r="H7" s="7">
        <f>SUM(H5:H6)</f>
        <v>1679950.00856</v>
      </c>
      <c r="I7" s="7">
        <f>SUM(I3:I6)</f>
        <v>327190.34690429264</v>
      </c>
      <c r="J7" s="7">
        <f>SUM(J3:J6)</f>
        <v>1534346.4159902749</v>
      </c>
      <c r="L7" s="7">
        <f>SUM(L3:L6)</f>
        <v>2232725.3838373967</v>
      </c>
    </row>
    <row r="8" spans="2:17" x14ac:dyDescent="0.25">
      <c r="H8" s="44">
        <f>H7/F7</f>
        <v>7.2398131055583584E-2</v>
      </c>
      <c r="I8" s="44">
        <f>I7/F7</f>
        <v>1.4100401496829904E-2</v>
      </c>
      <c r="J8" s="44">
        <f>J7/F7</f>
        <v>6.612328482604457E-2</v>
      </c>
      <c r="L8" s="43">
        <f>L7/F7</f>
        <v>9.6220211391138427E-2</v>
      </c>
      <c r="P8" s="5"/>
    </row>
    <row r="9" spans="2:17" x14ac:dyDescent="0.25">
      <c r="H9" s="42" t="s">
        <v>52</v>
      </c>
      <c r="I9" s="41" t="s">
        <v>55</v>
      </c>
      <c r="J9" s="41"/>
      <c r="L9" s="42" t="s">
        <v>56</v>
      </c>
      <c r="P9" s="5"/>
    </row>
    <row r="10" spans="2:17" x14ac:dyDescent="0.25">
      <c r="P10" s="5"/>
    </row>
    <row r="11" spans="2:17" ht="14.65" customHeight="1" x14ac:dyDescent="0.25">
      <c r="P11" s="5"/>
    </row>
    <row r="12" spans="2:17" ht="15" customHeight="1" x14ac:dyDescent="0.25">
      <c r="B12" s="45" t="s">
        <v>54</v>
      </c>
      <c r="C12" s="45"/>
      <c r="D12" s="45"/>
      <c r="E12" s="45"/>
      <c r="F12" s="45"/>
      <c r="G12" s="45"/>
      <c r="P12" s="5"/>
    </row>
    <row r="13" spans="2:17" x14ac:dyDescent="0.25">
      <c r="B13" s="45"/>
      <c r="C13" s="45"/>
      <c r="D13" s="45"/>
      <c r="E13" s="45"/>
      <c r="F13" s="45"/>
      <c r="G13" s="45"/>
      <c r="P13" s="5"/>
    </row>
    <row r="14" spans="2:17" x14ac:dyDescent="0.25">
      <c r="B14" s="45"/>
      <c r="C14" s="45"/>
      <c r="D14" s="45"/>
      <c r="E14" s="45"/>
      <c r="F14" s="45"/>
      <c r="G14" s="45"/>
    </row>
    <row r="15" spans="2:17" x14ac:dyDescent="0.25">
      <c r="B15" s="45"/>
      <c r="C15" s="45"/>
      <c r="D15" s="45"/>
      <c r="E15" s="45"/>
      <c r="F15" s="45"/>
      <c r="G15" s="45"/>
    </row>
    <row r="16" spans="2:17" x14ac:dyDescent="0.25">
      <c r="B16" s="45"/>
      <c r="C16" s="45"/>
      <c r="D16" s="45"/>
      <c r="E16" s="45"/>
      <c r="F16" s="45"/>
      <c r="G16" s="45"/>
    </row>
    <row r="17" spans="2:12" x14ac:dyDescent="0.25">
      <c r="B17" s="45"/>
      <c r="C17" s="45"/>
      <c r="D17" s="45"/>
      <c r="E17" s="45"/>
      <c r="F17" s="45"/>
      <c r="G17" s="45"/>
    </row>
    <row r="18" spans="2:12" x14ac:dyDescent="0.25">
      <c r="B18" s="45"/>
      <c r="C18" s="45"/>
      <c r="D18" s="45"/>
      <c r="E18" s="45"/>
      <c r="F18" s="45"/>
      <c r="G18" s="45"/>
      <c r="H18" s="10"/>
      <c r="I18" s="3"/>
      <c r="J18" s="3"/>
      <c r="K18" s="3"/>
      <c r="L18" s="10"/>
    </row>
    <row r="19" spans="2:12" x14ac:dyDescent="0.25">
      <c r="B19" s="45"/>
      <c r="C19" s="45"/>
      <c r="D19" s="45"/>
      <c r="E19" s="45"/>
      <c r="F19" s="45"/>
      <c r="G19" s="45"/>
      <c r="H19" s="10"/>
      <c r="I19" s="3"/>
      <c r="J19" s="3"/>
      <c r="K19" s="3"/>
      <c r="L19" s="10"/>
    </row>
    <row r="20" spans="2:12" x14ac:dyDescent="0.25">
      <c r="B20" s="45"/>
      <c r="C20" s="45"/>
      <c r="D20" s="45"/>
      <c r="E20" s="45"/>
      <c r="F20" s="45"/>
      <c r="G20" s="45"/>
      <c r="J20" s="3"/>
    </row>
    <row r="21" spans="2:12" x14ac:dyDescent="0.25">
      <c r="B21" s="45"/>
      <c r="C21" s="45"/>
      <c r="D21" s="45"/>
      <c r="E21" s="45"/>
      <c r="F21" s="45"/>
      <c r="G21" s="45"/>
    </row>
    <row r="22" spans="2:12" x14ac:dyDescent="0.25">
      <c r="B22" s="45"/>
      <c r="C22" s="45"/>
      <c r="D22" s="45"/>
      <c r="E22" s="45"/>
      <c r="F22" s="45"/>
      <c r="G22" s="45"/>
    </row>
    <row r="23" spans="2:12" x14ac:dyDescent="0.25">
      <c r="B23" s="45"/>
      <c r="C23" s="45"/>
      <c r="D23" s="45"/>
      <c r="E23" s="45"/>
      <c r="F23" s="45"/>
      <c r="G23" s="45"/>
    </row>
    <row r="24" spans="2:12" x14ac:dyDescent="0.25">
      <c r="B24" s="45"/>
      <c r="C24" s="45"/>
      <c r="D24" s="45"/>
      <c r="E24" s="45"/>
      <c r="F24" s="45"/>
      <c r="G24" s="45"/>
    </row>
    <row r="25" spans="2:12" x14ac:dyDescent="0.25">
      <c r="B25" s="45"/>
      <c r="C25" s="45"/>
      <c r="D25" s="45"/>
      <c r="E25" s="45"/>
      <c r="F25" s="45"/>
      <c r="G25" s="45"/>
    </row>
    <row r="26" spans="2:12" x14ac:dyDescent="0.25">
      <c r="B26" s="45"/>
      <c r="C26" s="45"/>
      <c r="D26" s="45"/>
      <c r="E26" s="45"/>
      <c r="F26" s="45"/>
      <c r="G26" s="45"/>
    </row>
    <row r="27" spans="2:12" x14ac:dyDescent="0.25">
      <c r="B27" s="45"/>
      <c r="C27" s="45"/>
      <c r="D27" s="45"/>
      <c r="E27" s="45"/>
      <c r="F27" s="45"/>
      <c r="G27" s="45"/>
    </row>
    <row r="28" spans="2:12" x14ac:dyDescent="0.25">
      <c r="B28" s="45"/>
      <c r="C28" s="45"/>
      <c r="D28" s="45"/>
      <c r="E28" s="45"/>
      <c r="F28" s="45"/>
      <c r="G28" s="45"/>
    </row>
    <row r="29" spans="2:12" x14ac:dyDescent="0.25">
      <c r="B29" s="45"/>
      <c r="C29" s="45"/>
      <c r="D29" s="45"/>
      <c r="E29" s="45"/>
      <c r="F29" s="45"/>
      <c r="G29" s="45"/>
    </row>
    <row r="30" spans="2:12" x14ac:dyDescent="0.25">
      <c r="B30" s="45"/>
      <c r="C30" s="45"/>
      <c r="D30" s="45"/>
      <c r="E30" s="45"/>
      <c r="F30" s="45"/>
      <c r="G30" s="45"/>
    </row>
    <row r="31" spans="2:12" x14ac:dyDescent="0.25">
      <c r="B31" s="45"/>
      <c r="C31" s="45"/>
      <c r="D31" s="45"/>
      <c r="E31" s="45"/>
      <c r="F31" s="45"/>
      <c r="G31" s="45"/>
    </row>
    <row r="32" spans="2:12" x14ac:dyDescent="0.25">
      <c r="B32" s="45"/>
      <c r="C32" s="45"/>
      <c r="D32" s="45"/>
      <c r="E32" s="45"/>
      <c r="F32" s="45"/>
      <c r="G32" s="45"/>
    </row>
    <row r="33" spans="2:7" x14ac:dyDescent="0.25">
      <c r="B33" s="45"/>
      <c r="C33" s="45"/>
      <c r="D33" s="45"/>
      <c r="E33" s="45"/>
      <c r="F33" s="45"/>
      <c r="G33" s="45"/>
    </row>
    <row r="34" spans="2:7" x14ac:dyDescent="0.25">
      <c r="B34" s="45"/>
      <c r="C34" s="45"/>
      <c r="D34" s="45"/>
      <c r="E34" s="45"/>
      <c r="F34" s="45"/>
      <c r="G34" s="45"/>
    </row>
    <row r="35" spans="2:7" x14ac:dyDescent="0.25">
      <c r="B35" s="45"/>
      <c r="C35" s="45"/>
      <c r="D35" s="45"/>
      <c r="E35" s="45"/>
      <c r="F35" s="45"/>
      <c r="G35" s="45"/>
    </row>
    <row r="36" spans="2:7" x14ac:dyDescent="0.25">
      <c r="B36" s="45"/>
      <c r="C36" s="45"/>
      <c r="D36" s="45"/>
      <c r="E36" s="45"/>
      <c r="F36" s="45"/>
      <c r="G36" s="45"/>
    </row>
    <row r="37" spans="2:7" x14ac:dyDescent="0.25">
      <c r="B37" s="45"/>
      <c r="C37" s="45"/>
      <c r="D37" s="45"/>
      <c r="E37" s="45"/>
      <c r="F37" s="45"/>
      <c r="G37" s="45"/>
    </row>
    <row r="38" spans="2:7" x14ac:dyDescent="0.25">
      <c r="B38" s="45"/>
      <c r="C38" s="45"/>
      <c r="D38" s="45"/>
      <c r="E38" s="45"/>
      <c r="F38" s="45"/>
      <c r="G38" s="45"/>
    </row>
    <row r="39" spans="2:7" x14ac:dyDescent="0.25">
      <c r="B39" s="45"/>
      <c r="C39" s="45"/>
      <c r="D39" s="45"/>
      <c r="E39" s="45"/>
      <c r="F39" s="45"/>
      <c r="G39" s="45"/>
    </row>
    <row r="40" spans="2:7" x14ac:dyDescent="0.25">
      <c r="B40" s="45"/>
      <c r="C40" s="45"/>
      <c r="D40" s="45"/>
      <c r="E40" s="45"/>
      <c r="F40" s="45"/>
      <c r="G40" s="45"/>
    </row>
    <row r="41" spans="2:7" x14ac:dyDescent="0.25">
      <c r="B41" s="45"/>
      <c r="C41" s="45"/>
      <c r="D41" s="45"/>
      <c r="E41" s="45"/>
      <c r="F41" s="45"/>
      <c r="G41" s="45"/>
    </row>
    <row r="42" spans="2:7" x14ac:dyDescent="0.25">
      <c r="B42" s="45"/>
      <c r="C42" s="45"/>
      <c r="D42" s="45"/>
      <c r="E42" s="45"/>
      <c r="F42" s="45"/>
      <c r="G42" s="45"/>
    </row>
    <row r="43" spans="2:7" x14ac:dyDescent="0.25">
      <c r="B43" s="45"/>
      <c r="C43" s="45"/>
      <c r="D43" s="45"/>
      <c r="E43" s="45"/>
      <c r="F43" s="45"/>
      <c r="G43" s="45"/>
    </row>
    <row r="44" spans="2:7" x14ac:dyDescent="0.25">
      <c r="B44" s="45"/>
      <c r="C44" s="45"/>
      <c r="D44" s="45"/>
      <c r="E44" s="45"/>
      <c r="F44" s="45"/>
      <c r="G44" s="45"/>
    </row>
    <row r="45" spans="2:7" x14ac:dyDescent="0.25">
      <c r="B45" s="45"/>
      <c r="C45" s="45"/>
      <c r="D45" s="45"/>
      <c r="E45" s="45"/>
      <c r="F45" s="45"/>
      <c r="G45" s="45"/>
    </row>
    <row r="46" spans="2:7" x14ac:dyDescent="0.25">
      <c r="B46" s="45"/>
      <c r="C46" s="45"/>
      <c r="D46" s="45"/>
      <c r="E46" s="45"/>
      <c r="F46" s="45"/>
      <c r="G46" s="45"/>
    </row>
    <row r="47" spans="2:7" x14ac:dyDescent="0.25">
      <c r="B47" s="45"/>
      <c r="C47" s="45"/>
      <c r="D47" s="45"/>
      <c r="E47" s="45"/>
      <c r="F47" s="45"/>
      <c r="G47" s="45"/>
    </row>
    <row r="48" spans="2:7" x14ac:dyDescent="0.25">
      <c r="B48" s="45"/>
      <c r="C48" s="45"/>
      <c r="D48" s="45"/>
      <c r="E48" s="45"/>
      <c r="F48" s="45"/>
      <c r="G48" s="45"/>
    </row>
    <row r="49" spans="2:7" x14ac:dyDescent="0.25">
      <c r="B49" s="45"/>
      <c r="C49" s="45"/>
      <c r="D49" s="45"/>
      <c r="E49" s="45"/>
      <c r="F49" s="45"/>
      <c r="G49" s="45"/>
    </row>
  </sheetData>
  <mergeCells count="6">
    <mergeCell ref="L1:L2"/>
    <mergeCell ref="B12:G49"/>
    <mergeCell ref="I1:J1"/>
    <mergeCell ref="H1:H2"/>
    <mergeCell ref="I9:J9"/>
    <mergeCell ref="B2:C2"/>
  </mergeCells>
  <phoneticPr fontId="9"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3EF85-F68A-41D3-91E2-11696C99DA91}">
  <dimension ref="A1:N8"/>
  <sheetViews>
    <sheetView workbookViewId="0">
      <selection activeCell="F12" sqref="F12"/>
    </sheetView>
  </sheetViews>
  <sheetFormatPr baseColWidth="10" defaultRowHeight="15" x14ac:dyDescent="0.25"/>
  <cols>
    <col min="1" max="1" width="6.140625" bestFit="1" customWidth="1"/>
    <col min="2" max="2" width="15.5703125" bestFit="1" customWidth="1"/>
    <col min="3" max="3" width="14.5703125" bestFit="1" customWidth="1"/>
    <col min="4" max="4" width="17.85546875" bestFit="1" customWidth="1"/>
    <col min="5" max="5" width="28.28515625" bestFit="1" customWidth="1"/>
    <col min="6" max="6" width="17.85546875" bestFit="1" customWidth="1"/>
    <col min="7" max="7" width="17.42578125" bestFit="1" customWidth="1"/>
    <col min="8" max="8" width="17.42578125" customWidth="1"/>
    <col min="9" max="9" width="17.42578125" bestFit="1" customWidth="1"/>
    <col min="10" max="10" width="13" bestFit="1" customWidth="1"/>
    <col min="11" max="11" width="14.5703125" bestFit="1" customWidth="1"/>
    <col min="12" max="12" width="17.28515625" bestFit="1" customWidth="1"/>
    <col min="13" max="13" width="14.5703125" bestFit="1" customWidth="1"/>
  </cols>
  <sheetData>
    <row r="1" spans="1:14" x14ac:dyDescent="0.25">
      <c r="A1" s="21" t="s">
        <v>5</v>
      </c>
      <c r="B1" s="21" t="s">
        <v>6</v>
      </c>
      <c r="C1" s="24" t="s">
        <v>7</v>
      </c>
      <c r="D1" s="23" t="s">
        <v>8</v>
      </c>
      <c r="E1" s="23" t="s">
        <v>9</v>
      </c>
      <c r="F1" s="23" t="s">
        <v>47</v>
      </c>
      <c r="G1" s="24" t="s">
        <v>48</v>
      </c>
      <c r="H1" s="24" t="s">
        <v>49</v>
      </c>
      <c r="I1" s="24" t="s">
        <v>10</v>
      </c>
      <c r="J1" s="21" t="s">
        <v>25</v>
      </c>
      <c r="K1" s="21" t="s">
        <v>26</v>
      </c>
      <c r="L1" s="22" t="s">
        <v>27</v>
      </c>
      <c r="M1" s="22" t="s">
        <v>28</v>
      </c>
    </row>
    <row r="2" spans="1:14" x14ac:dyDescent="0.25">
      <c r="A2" s="21"/>
      <c r="B2" s="21"/>
      <c r="C2" s="24"/>
      <c r="D2" s="23"/>
      <c r="E2" s="23"/>
      <c r="F2" s="23"/>
      <c r="G2" s="24"/>
      <c r="H2" s="24"/>
      <c r="I2" s="24"/>
      <c r="J2" s="21"/>
      <c r="K2" s="21"/>
      <c r="L2" s="22"/>
      <c r="M2" s="22"/>
    </row>
    <row r="3" spans="1:14" x14ac:dyDescent="0.25">
      <c r="A3" s="1">
        <v>1</v>
      </c>
      <c r="B3" s="6">
        <v>5000000</v>
      </c>
      <c r="C3" s="7">
        <f>B3*Resumen!$C$6</f>
        <v>1500000</v>
      </c>
      <c r="D3" s="7">
        <f>B3-C3</f>
        <v>3500000</v>
      </c>
      <c r="E3" s="7">
        <v>0</v>
      </c>
      <c r="F3" s="6">
        <f>IF(C3&lt;&gt;0,CUMIPMT(Resumen!$C$4,Resumen!$C$5,C3,1,Resumen!$C$5,0)*-1,0)</f>
        <v>38025.980245686835</v>
      </c>
      <c r="G3" s="8">
        <f>+((Resumen!$C$4)*D3*Resumen!$C$5)</f>
        <v>151200</v>
      </c>
      <c r="H3" s="8">
        <f>E3*Resumen!$C$4*Resumen!$C$5</f>
        <v>0</v>
      </c>
      <c r="I3" s="7">
        <f>F3+G3+H3</f>
        <v>189225.98024568683</v>
      </c>
      <c r="J3" s="7"/>
      <c r="K3" s="20">
        <f>I3*1</f>
        <v>189225.98024568683</v>
      </c>
      <c r="L3" s="1"/>
      <c r="M3" s="7">
        <f>K3</f>
        <v>189225.98024568683</v>
      </c>
      <c r="N3" t="s">
        <v>35</v>
      </c>
    </row>
    <row r="4" spans="1:14" x14ac:dyDescent="0.25">
      <c r="A4" s="1">
        <v>2</v>
      </c>
      <c r="B4" s="6">
        <v>5611000</v>
      </c>
      <c r="C4" s="7">
        <f>B4*Resumen!$C$6</f>
        <v>1683300</v>
      </c>
      <c r="D4" s="7">
        <f>B4-C4</f>
        <v>3927700</v>
      </c>
      <c r="E4" s="7">
        <f>D3</f>
        <v>3500000</v>
      </c>
      <c r="F4" s="6">
        <f>IF(C4&lt;&gt;0,CUMIPMT(Resumen!$C$4,Resumen!$C$5,C4,1,Resumen!$C$5,0)*-1,0)</f>
        <v>42672.755031710025</v>
      </c>
      <c r="G4" s="8">
        <f>+((Resumen!$C$4)*D4*Resumen!$C$5)</f>
        <v>169676.63999999998</v>
      </c>
      <c r="H4" s="8">
        <f>E4*Resumen!$C$4*Resumen!$C$5</f>
        <v>151200</v>
      </c>
      <c r="I4" s="7">
        <f t="shared" ref="I4:I6" si="0">F4+G4+H4</f>
        <v>363549.39503171004</v>
      </c>
      <c r="J4" s="1"/>
      <c r="K4" s="20">
        <f>I4*1</f>
        <v>363549.39503171004</v>
      </c>
      <c r="L4" s="1"/>
      <c r="M4" s="7">
        <f>K4</f>
        <v>363549.39503171004</v>
      </c>
      <c r="N4" t="s">
        <v>35</v>
      </c>
    </row>
    <row r="5" spans="1:14" x14ac:dyDescent="0.25">
      <c r="A5" s="1">
        <v>3</v>
      </c>
      <c r="B5" s="6">
        <f>B4*1.1222</f>
        <v>6296664.2000000002</v>
      </c>
      <c r="C5" s="7">
        <f>B5*Resumen!$C$6</f>
        <v>1888999.26</v>
      </c>
      <c r="D5" s="7">
        <f>B5-C5</f>
        <v>4407664.9400000004</v>
      </c>
      <c r="E5" s="7">
        <f>E4+D4</f>
        <v>7427700</v>
      </c>
      <c r="F5" s="6">
        <f>IF(C5&lt;&gt;0,CUMIPMT(Resumen!$C$4,Resumen!$C$5,C5,1,Resumen!$C$5,0)*-1,0)</f>
        <v>47887.365696585272</v>
      </c>
      <c r="G5" s="8">
        <f>+((Resumen!$C$4)*D5*Resumen!$C$5)</f>
        <v>190411.12540800002</v>
      </c>
      <c r="H5" s="8">
        <f>E5*Resumen!$C$4*Resumen!$C$5</f>
        <v>320876.63999999996</v>
      </c>
      <c r="I5" s="7">
        <f t="shared" si="0"/>
        <v>559175.13110458525</v>
      </c>
      <c r="J5" s="7">
        <f>I5*0.25</f>
        <v>139793.78277614631</v>
      </c>
      <c r="K5" s="19">
        <f>I5*0.75</f>
        <v>419381.34832843894</v>
      </c>
      <c r="L5" s="7">
        <f>B5*0.1334</f>
        <v>839975.00427999999</v>
      </c>
      <c r="M5" s="7">
        <f>L5</f>
        <v>839975.00427999999</v>
      </c>
    </row>
    <row r="6" spans="1:14" x14ac:dyDescent="0.25">
      <c r="A6" s="1">
        <v>4</v>
      </c>
      <c r="B6" s="6">
        <f>B5</f>
        <v>6296664.2000000002</v>
      </c>
      <c r="C6" s="7">
        <f>B6*Resumen!$C$6</f>
        <v>1888999.26</v>
      </c>
      <c r="D6" s="7">
        <f>B6-C6</f>
        <v>4407664.9400000004</v>
      </c>
      <c r="E6" s="7">
        <f>E5+D5</f>
        <v>11835364.940000001</v>
      </c>
      <c r="F6" s="6">
        <f>IF(C6&lt;&gt;0,CUMIPMT(Resumen!$C$4,Resumen!$C$5,C6,1,Resumen!$C$5,0)*-1,0)</f>
        <v>47887.365696585272</v>
      </c>
      <c r="G6" s="8">
        <f>+((Resumen!$C$4)*D6*Resumen!$C$5)</f>
        <v>190411.12540800002</v>
      </c>
      <c r="H6" s="8">
        <f>E6*Resumen!$C$4*Resumen!$C$5</f>
        <v>511287.76540800009</v>
      </c>
      <c r="I6" s="7">
        <f t="shared" si="0"/>
        <v>749586.25651258533</v>
      </c>
      <c r="J6" s="7">
        <f>I6*0.25</f>
        <v>187396.56412814633</v>
      </c>
      <c r="K6" s="19">
        <f>I6*0.75</f>
        <v>562189.69238443905</v>
      </c>
      <c r="L6" s="7">
        <f>B6*0.1334</f>
        <v>839975.00427999999</v>
      </c>
      <c r="M6" s="7">
        <f>L6</f>
        <v>839975.00427999999</v>
      </c>
    </row>
    <row r="7" spans="1:14" x14ac:dyDescent="0.25">
      <c r="B7" s="10">
        <f>SUM(B3:B6)</f>
        <v>23204328.399999999</v>
      </c>
      <c r="D7" s="10"/>
      <c r="E7" s="10"/>
      <c r="F7" s="3"/>
      <c r="G7" s="3"/>
      <c r="H7" s="3"/>
      <c r="I7" s="6">
        <f>SUM(I3:I6)</f>
        <v>1861536.7628945673</v>
      </c>
      <c r="J7" s="9"/>
      <c r="K7" s="7">
        <f>K3+K4+K5+K6</f>
        <v>1534346.4159902749</v>
      </c>
      <c r="L7" s="6">
        <f>SUM(L5:L6)</f>
        <v>1679950.00856</v>
      </c>
      <c r="M7" s="7">
        <f>SUM(M3:M6)</f>
        <v>2232725.3838373967</v>
      </c>
    </row>
    <row r="8" spans="1:14" ht="15.75" x14ac:dyDescent="0.25">
      <c r="D8" s="10"/>
      <c r="E8" s="10"/>
      <c r="F8" s="3"/>
      <c r="G8" s="3"/>
      <c r="H8" s="3"/>
      <c r="I8" s="37">
        <f>+I7/B7</f>
        <v>8.0223686322874466E-2</v>
      </c>
      <c r="J8" s="38"/>
      <c r="K8" s="37">
        <f>K7/B7</f>
        <v>6.612328482604457E-2</v>
      </c>
      <c r="L8" s="37">
        <f>L7/B7</f>
        <v>7.2398131055583584E-2</v>
      </c>
      <c r="M8" s="37">
        <f>M7/B7</f>
        <v>9.6220211391138427E-2</v>
      </c>
    </row>
  </sheetData>
  <mergeCells count="13">
    <mergeCell ref="L1:L2"/>
    <mergeCell ref="M1:M2"/>
    <mergeCell ref="F1:F2"/>
    <mergeCell ref="G1:G2"/>
    <mergeCell ref="I1:I2"/>
    <mergeCell ref="J1:J2"/>
    <mergeCell ref="H1:H2"/>
    <mergeCell ref="E1:E2"/>
    <mergeCell ref="A1:A2"/>
    <mergeCell ref="B1:B2"/>
    <mergeCell ref="C1:C2"/>
    <mergeCell ref="D1:D2"/>
    <mergeCell ref="K1: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6616-7350-493F-A29C-7E69461F8DB6}">
  <dimension ref="A1:H17"/>
  <sheetViews>
    <sheetView workbookViewId="0">
      <selection activeCell="H5" sqref="H5"/>
    </sheetView>
  </sheetViews>
  <sheetFormatPr baseColWidth="10" defaultColWidth="11.42578125" defaultRowHeight="15" x14ac:dyDescent="0.25"/>
  <cols>
    <col min="1" max="1" width="13.28515625" bestFit="1" customWidth="1"/>
    <col min="2" max="2" width="14.5703125" bestFit="1" customWidth="1"/>
    <col min="4" max="4" width="14.7109375" bestFit="1" customWidth="1"/>
    <col min="5" max="5" width="14.28515625" bestFit="1" customWidth="1"/>
    <col min="7" max="7" width="16.28515625" bestFit="1" customWidth="1"/>
    <col min="8" max="8" width="14.28515625" bestFit="1" customWidth="1"/>
  </cols>
  <sheetData>
    <row r="1" spans="1:8" x14ac:dyDescent="0.25">
      <c r="A1" s="26" t="s">
        <v>11</v>
      </c>
      <c r="B1" s="26"/>
      <c r="C1" s="26"/>
      <c r="D1" s="26"/>
      <c r="E1" s="26"/>
    </row>
    <row r="2" spans="1:8" x14ac:dyDescent="0.25">
      <c r="A2" s="17"/>
      <c r="B2" s="17"/>
      <c r="C2" s="17"/>
      <c r="D2" s="17"/>
      <c r="E2" s="17"/>
    </row>
    <row r="3" spans="1:8" x14ac:dyDescent="0.25">
      <c r="A3" s="11" t="s">
        <v>12</v>
      </c>
      <c r="B3" s="7">
        <f>Detalle!C3</f>
        <v>1500000</v>
      </c>
      <c r="G3" s="11" t="s">
        <v>13</v>
      </c>
      <c r="H3" s="7">
        <f>Detalle!D3</f>
        <v>3500000</v>
      </c>
    </row>
    <row r="4" spans="1:8" x14ac:dyDescent="0.25">
      <c r="A4" s="11" t="s">
        <v>14</v>
      </c>
      <c r="B4" s="1">
        <f>Resumen!C3</f>
        <v>9</v>
      </c>
      <c r="G4" s="11" t="s">
        <v>14</v>
      </c>
      <c r="H4" s="1">
        <f>B4</f>
        <v>9</v>
      </c>
    </row>
    <row r="5" spans="1:8" x14ac:dyDescent="0.25">
      <c r="A5" s="11" t="s">
        <v>15</v>
      </c>
      <c r="B5" s="16">
        <f>Resumen!C4</f>
        <v>7.1999999999999998E-3</v>
      </c>
      <c r="G5" s="11" t="s">
        <v>15</v>
      </c>
      <c r="H5" s="1">
        <f>B5</f>
        <v>7.1999999999999998E-3</v>
      </c>
    </row>
    <row r="6" spans="1:8" x14ac:dyDescent="0.25">
      <c r="A6" s="11" t="s">
        <v>16</v>
      </c>
      <c r="B6" s="1">
        <f>Resumen!C5</f>
        <v>6</v>
      </c>
      <c r="G6" s="11" t="s">
        <v>16</v>
      </c>
      <c r="H6" s="1">
        <f>B6</f>
        <v>6</v>
      </c>
    </row>
    <row r="8" spans="1:8" x14ac:dyDescent="0.25">
      <c r="A8" s="11" t="s">
        <v>17</v>
      </c>
      <c r="B8" s="11" t="s">
        <v>18</v>
      </c>
      <c r="C8" s="11" t="s">
        <v>19</v>
      </c>
      <c r="D8" s="11" t="s">
        <v>20</v>
      </c>
      <c r="E8" s="11" t="s">
        <v>21</v>
      </c>
    </row>
    <row r="9" spans="1:8" x14ac:dyDescent="0.25">
      <c r="A9" s="1">
        <v>1</v>
      </c>
      <c r="B9" s="14">
        <f>PMT(B5,B6,-B3)</f>
        <v>256337.6633742812</v>
      </c>
      <c r="C9" s="14">
        <f>B9-D9</f>
        <v>245537.6633742812</v>
      </c>
      <c r="D9" s="15">
        <f>B3*$B$5</f>
        <v>10800</v>
      </c>
      <c r="E9" s="7">
        <f>B3-C9</f>
        <v>1254462.3366257187</v>
      </c>
    </row>
    <row r="10" spans="1:8" x14ac:dyDescent="0.25">
      <c r="A10" s="1">
        <v>2</v>
      </c>
      <c r="B10" s="14">
        <f>PMT($B$5,$B$6-A9,-E9)</f>
        <v>256337.6633742812</v>
      </c>
      <c r="C10" s="14">
        <f>B10-D10</f>
        <v>247305.53455057603</v>
      </c>
      <c r="D10" s="15">
        <f>E9*$B$5</f>
        <v>9032.128823705174</v>
      </c>
      <c r="E10" s="7">
        <f>E9-C10</f>
        <v>1007156.8020751427</v>
      </c>
    </row>
    <row r="11" spans="1:8" x14ac:dyDescent="0.25">
      <c r="A11" s="1">
        <v>3</v>
      </c>
      <c r="B11" s="14">
        <f>PMT($B$5,$B$6-A10,-E10)</f>
        <v>256337.6633742812</v>
      </c>
      <c r="C11" s="14">
        <f t="shared" ref="C9:C14" si="0">B11-D11</f>
        <v>249086.13439934017</v>
      </c>
      <c r="D11" s="15">
        <f>E10*$B$5</f>
        <v>7251.5289749410276</v>
      </c>
      <c r="E11" s="7">
        <f>E10-C11</f>
        <v>758070.6676758026</v>
      </c>
    </row>
    <row r="12" spans="1:8" x14ac:dyDescent="0.25">
      <c r="A12" s="1">
        <v>4</v>
      </c>
      <c r="B12" s="14">
        <f>PMT($B$5,$B$6-A11,-E11)</f>
        <v>256337.6633742812</v>
      </c>
      <c r="C12" s="14">
        <f t="shared" si="0"/>
        <v>250879.55456701541</v>
      </c>
      <c r="D12" s="15">
        <f>E11*$B$5</f>
        <v>5458.1088072657785</v>
      </c>
      <c r="E12" s="7">
        <f>E11-C12</f>
        <v>507191.11310878722</v>
      </c>
    </row>
    <row r="13" spans="1:8" x14ac:dyDescent="0.25">
      <c r="A13" s="1">
        <v>5</v>
      </c>
      <c r="B13" s="14">
        <f>PMT($B$5,$B$6-A12,-E12)</f>
        <v>256337.66337428126</v>
      </c>
      <c r="C13" s="14">
        <f t="shared" si="0"/>
        <v>252685.88735989798</v>
      </c>
      <c r="D13" s="15">
        <f>E12*$B$5</f>
        <v>3651.7760143832679</v>
      </c>
      <c r="E13" s="7">
        <f>E12-C13</f>
        <v>254505.22574888924</v>
      </c>
    </row>
    <row r="14" spans="1:8" x14ac:dyDescent="0.25">
      <c r="A14" s="1">
        <v>6</v>
      </c>
      <c r="B14" s="14">
        <f>PMT($B$5,$B$6-A13,-E13)</f>
        <v>256337.6633742812</v>
      </c>
      <c r="C14" s="14">
        <f t="shared" si="0"/>
        <v>254505.22574888921</v>
      </c>
      <c r="D14" s="15">
        <f>E13*$B$5</f>
        <v>1832.4376253920025</v>
      </c>
      <c r="E14" s="7">
        <f>E13-C14</f>
        <v>0</v>
      </c>
    </row>
    <row r="16" spans="1:8" x14ac:dyDescent="0.25">
      <c r="A16" t="s">
        <v>22</v>
      </c>
      <c r="D16" s="32">
        <f>SUM(D9:D15)</f>
        <v>38025.980245687257</v>
      </c>
      <c r="H16" s="33">
        <f>H3*H5*H6</f>
        <v>151200</v>
      </c>
    </row>
    <row r="17" spans="1:8" ht="26.25" x14ac:dyDescent="0.4">
      <c r="A17" t="s">
        <v>29</v>
      </c>
      <c r="D17" s="34">
        <f>D16+H16</f>
        <v>189225.98024568724</v>
      </c>
      <c r="E17" s="35"/>
      <c r="F17" s="35"/>
      <c r="G17" s="35"/>
      <c r="H17" s="35"/>
    </row>
  </sheetData>
  <mergeCells count="2">
    <mergeCell ref="A1:E1"/>
    <mergeCell ref="D17:H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A97B-46FA-41D0-818B-29102628C592}">
  <dimension ref="A1:I20"/>
  <sheetViews>
    <sheetView workbookViewId="0">
      <selection activeCell="J13" sqref="J13"/>
    </sheetView>
  </sheetViews>
  <sheetFormatPr baseColWidth="10" defaultColWidth="11.42578125" defaultRowHeight="15" x14ac:dyDescent="0.25"/>
  <cols>
    <col min="1" max="1" width="13.28515625" bestFit="1" customWidth="1"/>
    <col min="2" max="2" width="14.28515625" bestFit="1" customWidth="1"/>
    <col min="4" max="4" width="14.7109375" bestFit="1" customWidth="1"/>
    <col min="5" max="5" width="14.28515625" bestFit="1" customWidth="1"/>
    <col min="7" max="7" width="16.28515625" bestFit="1" customWidth="1"/>
    <col min="8" max="8" width="14.28515625" bestFit="1" customWidth="1"/>
    <col min="9" max="9" width="16.7109375" bestFit="1" customWidth="1"/>
  </cols>
  <sheetData>
    <row r="1" spans="1:9" x14ac:dyDescent="0.25">
      <c r="A1" s="26" t="s">
        <v>11</v>
      </c>
      <c r="B1" s="26"/>
      <c r="C1" s="26"/>
      <c r="D1" s="26"/>
      <c r="E1" s="26"/>
    </row>
    <row r="2" spans="1:9" x14ac:dyDescent="0.25">
      <c r="A2" s="17"/>
      <c r="B2" s="17"/>
      <c r="C2" s="17"/>
      <c r="D2" s="17"/>
      <c r="E2" s="17"/>
      <c r="H2" t="s">
        <v>23</v>
      </c>
      <c r="I2" t="s">
        <v>24</v>
      </c>
    </row>
    <row r="3" spans="1:9" x14ac:dyDescent="0.25">
      <c r="A3" s="11" t="s">
        <v>12</v>
      </c>
      <c r="B3" s="7">
        <f>Detalle!C4</f>
        <v>1683300</v>
      </c>
      <c r="G3" s="11" t="s">
        <v>13</v>
      </c>
      <c r="H3" s="7">
        <f>Detalle!D4</f>
        <v>3927700</v>
      </c>
      <c r="I3" s="7">
        <f>Detalle!E3</f>
        <v>0</v>
      </c>
    </row>
    <row r="4" spans="1:9" x14ac:dyDescent="0.25">
      <c r="A4" s="11" t="s">
        <v>14</v>
      </c>
      <c r="B4" s="1">
        <f>Resumen!C3</f>
        <v>9</v>
      </c>
      <c r="G4" s="11" t="s">
        <v>14</v>
      </c>
      <c r="H4" s="1">
        <f>B4</f>
        <v>9</v>
      </c>
      <c r="I4" s="1">
        <v>9</v>
      </c>
    </row>
    <row r="5" spans="1:9" x14ac:dyDescent="0.25">
      <c r="A5" s="11" t="s">
        <v>15</v>
      </c>
      <c r="B5" s="31">
        <f>Resumen!C4</f>
        <v>7.1999999999999998E-3</v>
      </c>
      <c r="G5" s="11" t="s">
        <v>15</v>
      </c>
      <c r="H5" s="1">
        <f>B5</f>
        <v>7.1999999999999998E-3</v>
      </c>
      <c r="I5" s="1">
        <f>H5</f>
        <v>7.1999999999999998E-3</v>
      </c>
    </row>
    <row r="6" spans="1:9" x14ac:dyDescent="0.25">
      <c r="A6" s="11" t="s">
        <v>16</v>
      </c>
      <c r="B6" s="1">
        <f>Resumen!C5</f>
        <v>6</v>
      </c>
      <c r="G6" s="11" t="s">
        <v>16</v>
      </c>
      <c r="H6" s="1">
        <f>B6</f>
        <v>6</v>
      </c>
      <c r="I6" s="1">
        <v>6</v>
      </c>
    </row>
    <row r="8" spans="1:9" x14ac:dyDescent="0.25">
      <c r="A8" s="11" t="s">
        <v>17</v>
      </c>
      <c r="B8" s="11" t="s">
        <v>18</v>
      </c>
      <c r="C8" s="11" t="s">
        <v>19</v>
      </c>
      <c r="D8" s="11" t="s">
        <v>20</v>
      </c>
      <c r="E8" s="11" t="s">
        <v>21</v>
      </c>
    </row>
    <row r="9" spans="1:9" x14ac:dyDescent="0.25">
      <c r="A9" s="1">
        <v>1</v>
      </c>
      <c r="B9" s="14">
        <f>PMT(B5,B6,-B3)</f>
        <v>287662.12583861838</v>
      </c>
      <c r="C9" s="14">
        <f t="shared" ref="C9:C14" si="0">B9-D9</f>
        <v>275542.36583861837</v>
      </c>
      <c r="D9" s="15">
        <f>B3*$B$5</f>
        <v>12119.76</v>
      </c>
      <c r="E9" s="7">
        <f>B3-C9</f>
        <v>1407757.6341613815</v>
      </c>
    </row>
    <row r="10" spans="1:9" x14ac:dyDescent="0.25">
      <c r="A10" s="1">
        <v>2</v>
      </c>
      <c r="B10" s="14">
        <f>PMT($B$5,$B$6-A9,-E9)</f>
        <v>287662.12583861832</v>
      </c>
      <c r="C10" s="14">
        <f t="shared" si="0"/>
        <v>277526.27087265637</v>
      </c>
      <c r="D10" s="15">
        <f>E9*$B$5</f>
        <v>10135.854965961948</v>
      </c>
      <c r="E10" s="7">
        <f>E9-C10</f>
        <v>1130231.3632887253</v>
      </c>
    </row>
    <row r="11" spans="1:9" x14ac:dyDescent="0.25">
      <c r="A11" s="1">
        <v>3</v>
      </c>
      <c r="B11" s="14">
        <f>PMT($B$5,$B$6-A10,-E10)</f>
        <v>287662.12583861838</v>
      </c>
      <c r="C11" s="14">
        <f t="shared" si="0"/>
        <v>279524.46002293954</v>
      </c>
      <c r="D11" s="15">
        <f>E10*$B$5</f>
        <v>8137.6658156788217</v>
      </c>
      <c r="E11" s="7">
        <f>E10-C11</f>
        <v>850706.90326578566</v>
      </c>
    </row>
    <row r="12" spans="1:9" x14ac:dyDescent="0.25">
      <c r="A12" s="1">
        <v>4</v>
      </c>
      <c r="B12" s="14">
        <f>PMT($B$5,$B$6-A11,-E11)</f>
        <v>287662.12583861838</v>
      </c>
      <c r="C12" s="14">
        <f t="shared" si="0"/>
        <v>281537.03613510472</v>
      </c>
      <c r="D12" s="15">
        <f>E11*$B$5</f>
        <v>6125.0897035136568</v>
      </c>
      <c r="E12" s="7">
        <f>E11-C12</f>
        <v>569169.86713068094</v>
      </c>
    </row>
    <row r="13" spans="1:9" x14ac:dyDescent="0.25">
      <c r="A13" s="1">
        <v>5</v>
      </c>
      <c r="B13" s="14">
        <f>PMT($B$5,$B$6-A12,-E12)</f>
        <v>287662.12583861838</v>
      </c>
      <c r="C13" s="14">
        <f t="shared" si="0"/>
        <v>283564.10279527749</v>
      </c>
      <c r="D13" s="15">
        <f>E12*$B$5</f>
        <v>4098.0230433409024</v>
      </c>
      <c r="E13" s="7">
        <f>E12-C13</f>
        <v>285605.76433540345</v>
      </c>
    </row>
    <row r="14" spans="1:9" x14ac:dyDescent="0.25">
      <c r="A14" s="1">
        <v>6</v>
      </c>
      <c r="B14" s="14">
        <f>PMT($B$5,$B$6-A13,-E13)</f>
        <v>287662.12583861832</v>
      </c>
      <c r="C14" s="14">
        <f t="shared" si="0"/>
        <v>285605.76433540339</v>
      </c>
      <c r="D14" s="15">
        <f>E13*$B$5</f>
        <v>2056.3615032149046</v>
      </c>
      <c r="E14" s="7">
        <f>E13-C14</f>
        <v>0</v>
      </c>
    </row>
    <row r="15" spans="1:9" x14ac:dyDescent="0.25">
      <c r="D15" t="s">
        <v>30</v>
      </c>
      <c r="H15" t="s">
        <v>31</v>
      </c>
      <c r="I15" t="s">
        <v>32</v>
      </c>
    </row>
    <row r="16" spans="1:9" x14ac:dyDescent="0.25">
      <c r="A16" t="s">
        <v>22</v>
      </c>
      <c r="D16" s="15">
        <f>SUM(D9:D15)</f>
        <v>42672.755031710229</v>
      </c>
      <c r="H16" s="7">
        <f>H3*H5*H6</f>
        <v>169676.63999999998</v>
      </c>
      <c r="I16" s="7">
        <f>I3*I5*I6</f>
        <v>0</v>
      </c>
    </row>
    <row r="17" spans="4:9" x14ac:dyDescent="0.25">
      <c r="D17" s="13">
        <f>D16</f>
        <v>42672.755031710229</v>
      </c>
      <c r="H17" s="27">
        <f>H16+I16</f>
        <v>169676.63999999998</v>
      </c>
      <c r="I17" s="28"/>
    </row>
    <row r="18" spans="4:9" ht="31.5" x14ac:dyDescent="0.5">
      <c r="D18" s="29">
        <f>D17+H17</f>
        <v>212349.39503171021</v>
      </c>
      <c r="E18" s="30"/>
      <c r="F18" s="30"/>
      <c r="G18" s="30"/>
      <c r="H18" s="30"/>
      <c r="I18" s="30"/>
    </row>
    <row r="19" spans="4:9" x14ac:dyDescent="0.25">
      <c r="F19" t="s">
        <v>33</v>
      </c>
      <c r="G19" s="36">
        <f>D18*0.25</f>
        <v>53087.348757927553</v>
      </c>
    </row>
    <row r="20" spans="4:9" x14ac:dyDescent="0.25">
      <c r="F20" t="s">
        <v>34</v>
      </c>
      <c r="G20" s="36">
        <f>D18*0.75</f>
        <v>159262.04627378267</v>
      </c>
    </row>
  </sheetData>
  <mergeCells count="3">
    <mergeCell ref="A1:E1"/>
    <mergeCell ref="H17:I17"/>
    <mergeCell ref="D18:I1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Detalle</vt:lpstr>
      <vt:lpstr>RelacionarCamposConFormulasF1</vt:lpstr>
      <vt:lpstr>RelacionarCamposConFormulasF2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Rojas Reyes</dc:creator>
  <cp:keywords/>
  <dc:description/>
  <cp:lastModifiedBy>Juan Carlos Rojas Reyes</cp:lastModifiedBy>
  <cp:revision/>
  <dcterms:created xsi:type="dcterms:W3CDTF">2022-12-23T14:04:11Z</dcterms:created>
  <dcterms:modified xsi:type="dcterms:W3CDTF">2023-11-27T22:05:26Z</dcterms:modified>
  <cp:category/>
  <cp:contentStatus/>
</cp:coreProperties>
</file>