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USER\Dropbox\Banco Mundial\OTROS\FCI\Simulador cuota FCI v2\"/>
    </mc:Choice>
  </mc:AlternateContent>
  <xr:revisionPtr revIDLastSave="0" documentId="13_ncr:1_{83D502E9-DD21-472C-BE55-30CCCDC41F81}" xr6:coauthVersionLast="47" xr6:coauthVersionMax="47" xr10:uidLastSave="{00000000-0000-0000-0000-000000000000}"/>
  <bookViews>
    <workbookView xWindow="-108" yWindow="-108" windowWidth="23256" windowHeight="12576" xr2:uid="{A2596A37-3F31-471E-BC23-A52C942816B6}"/>
  </bookViews>
  <sheets>
    <sheet name="Resumen usuario" sheetId="3" r:id="rId1"/>
    <sheet name="Simulador crédito PEstudios" sheetId="4" state="hidden" r:id="rId2"/>
    <sheet name="Simulador cuota PCI " sheetId="5" state="hidden" r:id="rId3"/>
  </sheets>
  <definedNames>
    <definedName name="_xlnm.Print_Area" localSheetId="0">'Resumen usuario'!$A$1:$E$39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3" l="1"/>
  <c r="J3" i="5" l="1"/>
  <c r="J16" i="5" s="1"/>
  <c r="B32" i="3" l="1"/>
  <c r="C4" i="4"/>
  <c r="J17" i="5"/>
  <c r="J7" i="5" l="1"/>
  <c r="J6" i="5"/>
  <c r="J5" i="5"/>
  <c r="J4" i="5"/>
  <c r="A10" i="4"/>
  <c r="C10" i="4" s="1"/>
  <c r="J9" i="5" s="1"/>
  <c r="D4" i="4"/>
  <c r="B24" i="3"/>
  <c r="B26" i="3" l="1"/>
  <c r="B28" i="3" s="1"/>
  <c r="E4" i="4" s="1"/>
  <c r="J10" i="5"/>
  <c r="A16" i="4"/>
  <c r="J12" i="5" l="1"/>
  <c r="J13" i="5" s="1"/>
  <c r="C16" i="4"/>
  <c r="A22" i="4"/>
  <c r="A28" i="4" s="1"/>
  <c r="B5" i="4"/>
  <c r="D6" i="4"/>
  <c r="E6" i="4" s="1"/>
  <c r="J23" i="5" l="1"/>
  <c r="J21" i="5"/>
  <c r="J20" i="5"/>
  <c r="A34" i="4"/>
  <c r="A40" i="4" s="1"/>
  <c r="B6" i="4"/>
  <c r="B7" i="4" s="1"/>
  <c r="B8" i="4" s="1"/>
  <c r="B9" i="4" s="1"/>
  <c r="B10" i="4" s="1"/>
  <c r="B11" i="4" s="1"/>
  <c r="B12" i="4" s="1"/>
  <c r="B13" i="4" s="1"/>
  <c r="B14" i="4" s="1"/>
  <c r="B15" i="4" s="1"/>
  <c r="D9" i="4"/>
  <c r="D10" i="4" s="1"/>
  <c r="E10" i="4" s="1"/>
  <c r="D5" i="4"/>
  <c r="E5" i="4" s="1"/>
  <c r="D8" i="4"/>
  <c r="E8" i="4" s="1"/>
  <c r="D7" i="4"/>
  <c r="E7" i="4" s="1"/>
  <c r="A46" i="4" l="1"/>
  <c r="A52" i="4" s="1"/>
  <c r="C22" i="4"/>
  <c r="H4" i="4"/>
  <c r="E9" i="4"/>
  <c r="D13" i="4"/>
  <c r="E13" i="4" s="1"/>
  <c r="D15" i="4"/>
  <c r="D14" i="4"/>
  <c r="E14" i="4" s="1"/>
  <c r="D11" i="4"/>
  <c r="E11" i="4" s="1"/>
  <c r="D12" i="4"/>
  <c r="E12" i="4" s="1"/>
  <c r="B16" i="4"/>
  <c r="B17" i="4" s="1"/>
  <c r="B18" i="4" s="1"/>
  <c r="B19" i="4" s="1"/>
  <c r="B20" i="4" s="1"/>
  <c r="B21" i="4" s="1"/>
  <c r="C28" i="4" l="1"/>
  <c r="A58" i="4"/>
  <c r="A64" i="4" s="1"/>
  <c r="D16" i="4"/>
  <c r="E16" i="4" s="1"/>
  <c r="D18" i="4"/>
  <c r="E18" i="4" s="1"/>
  <c r="D17" i="4"/>
  <c r="E17" i="4" s="1"/>
  <c r="D21" i="4"/>
  <c r="E21" i="4" s="1"/>
  <c r="D20" i="4"/>
  <c r="E20" i="4" s="1"/>
  <c r="F4" i="4"/>
  <c r="D19" i="4"/>
  <c r="E19" i="4" s="1"/>
  <c r="E15" i="4"/>
  <c r="B22" i="4"/>
  <c r="B23" i="4" s="1"/>
  <c r="B24" i="4" s="1"/>
  <c r="B25" i="4" s="1"/>
  <c r="B26" i="4" s="1"/>
  <c r="B27" i="4" s="1"/>
  <c r="G4" i="4" l="1"/>
  <c r="A70" i="4"/>
  <c r="D26" i="4"/>
  <c r="E26" i="4" s="1"/>
  <c r="D27" i="4"/>
  <c r="E27" i="4" s="1"/>
  <c r="D22" i="4"/>
  <c r="E22" i="4" s="1"/>
  <c r="D25" i="4"/>
  <c r="E25" i="4" s="1"/>
  <c r="D23" i="4"/>
  <c r="E23" i="4" s="1"/>
  <c r="D24" i="4"/>
  <c r="E24" i="4" s="1"/>
  <c r="B28" i="4"/>
  <c r="B29" i="4" s="1"/>
  <c r="B30" i="4" s="1"/>
  <c r="B31" i="4" s="1"/>
  <c r="B32" i="4" s="1"/>
  <c r="B33" i="4" s="1"/>
  <c r="C34" i="4"/>
  <c r="C40" i="4" s="1"/>
  <c r="I4" i="4" l="1"/>
  <c r="D32" i="4"/>
  <c r="E32" i="4" s="1"/>
  <c r="D29" i="4"/>
  <c r="E29" i="4" s="1"/>
  <c r="D33" i="4"/>
  <c r="E33" i="4" s="1"/>
  <c r="D30" i="4"/>
  <c r="E30" i="4" s="1"/>
  <c r="D28" i="4"/>
  <c r="E28" i="4" s="1"/>
  <c r="D31" i="4"/>
  <c r="E31" i="4" s="1"/>
  <c r="B34" i="4"/>
  <c r="B35" i="4" s="1"/>
  <c r="B36" i="4" s="1"/>
  <c r="B37" i="4" s="1"/>
  <c r="B38" i="4" s="1"/>
  <c r="B39" i="4" s="1"/>
  <c r="D36" i="4" l="1"/>
  <c r="E36" i="4" s="1"/>
  <c r="D34" i="4"/>
  <c r="E34" i="4" s="1"/>
  <c r="D37" i="4"/>
  <c r="E37" i="4" s="1"/>
  <c r="D38" i="4"/>
  <c r="E38" i="4" s="1"/>
  <c r="D35" i="4"/>
  <c r="E35" i="4" s="1"/>
  <c r="D39" i="4"/>
  <c r="E39" i="4" s="1"/>
  <c r="B40" i="4"/>
  <c r="C46" i="4"/>
  <c r="C52" i="4" s="1"/>
  <c r="B41" i="4" l="1"/>
  <c r="B42" i="4" s="1"/>
  <c r="B43" i="4" s="1"/>
  <c r="B44" i="4" s="1"/>
  <c r="B45" i="4" s="1"/>
  <c r="B46" i="4" s="1"/>
  <c r="D44" i="4"/>
  <c r="E44" i="4" s="1"/>
  <c r="D41" i="4"/>
  <c r="E41" i="4" s="1"/>
  <c r="D45" i="4"/>
  <c r="E45" i="4" s="1"/>
  <c r="D42" i="4"/>
  <c r="E42" i="4" s="1"/>
  <c r="D40" i="4"/>
  <c r="E40" i="4" s="1"/>
  <c r="D43" i="4"/>
  <c r="E43" i="4" s="1"/>
  <c r="D48" i="4" l="1"/>
  <c r="E48" i="4" s="1"/>
  <c r="D46" i="4"/>
  <c r="E46" i="4" s="1"/>
  <c r="D49" i="4"/>
  <c r="E49" i="4" s="1"/>
  <c r="D50" i="4"/>
  <c r="E50" i="4" s="1"/>
  <c r="D47" i="4"/>
  <c r="E47" i="4" s="1"/>
  <c r="D51" i="4"/>
  <c r="E51" i="4" s="1"/>
  <c r="B47" i="4"/>
  <c r="B48" i="4" s="1"/>
  <c r="B49" i="4" s="1"/>
  <c r="B50" i="4" s="1"/>
  <c r="B51" i="4" s="1"/>
  <c r="B52" i="4" s="1"/>
  <c r="B53" i="4" s="1"/>
  <c r="B54" i="4" s="1"/>
  <c r="B55" i="4" s="1"/>
  <c r="B56" i="4" s="1"/>
  <c r="B57" i="4" s="1"/>
  <c r="H10" i="4"/>
  <c r="D54" i="4" l="1"/>
  <c r="E54" i="4" s="1"/>
  <c r="D56" i="4"/>
  <c r="E56" i="4" s="1"/>
  <c r="D52" i="4"/>
  <c r="E52" i="4" s="1"/>
  <c r="D53" i="4"/>
  <c r="E53" i="4" s="1"/>
  <c r="D55" i="4"/>
  <c r="E55" i="4" s="1"/>
  <c r="D57" i="4"/>
  <c r="E57" i="4" s="1"/>
  <c r="B58" i="4"/>
  <c r="B59" i="4" s="1"/>
  <c r="B60" i="4" s="1"/>
  <c r="B61" i="4" s="1"/>
  <c r="B62" i="4" s="1"/>
  <c r="B63" i="4" s="1"/>
  <c r="C58" i="4"/>
  <c r="F10" i="4"/>
  <c r="G10" i="4" l="1"/>
  <c r="C64" i="4"/>
  <c r="C70" i="4" s="1"/>
  <c r="C76" i="4" s="1"/>
  <c r="C81" i="4" s="1"/>
  <c r="H52" i="4"/>
  <c r="D63" i="4"/>
  <c r="D59" i="4"/>
  <c r="E59" i="4" s="1"/>
  <c r="D61" i="4"/>
  <c r="E61" i="4" s="1"/>
  <c r="D58" i="4"/>
  <c r="E58" i="4" s="1"/>
  <c r="D60" i="4"/>
  <c r="E60" i="4" s="1"/>
  <c r="D62" i="4"/>
  <c r="E62" i="4" s="1"/>
  <c r="B64" i="4"/>
  <c r="B65" i="4" s="1"/>
  <c r="B66" i="4" s="1"/>
  <c r="B67" i="4" s="1"/>
  <c r="B68" i="4" s="1"/>
  <c r="D69" i="4" l="1"/>
  <c r="H64" i="4" s="1"/>
  <c r="D65" i="4"/>
  <c r="E65" i="4" s="1"/>
  <c r="D66" i="4"/>
  <c r="E66" i="4" s="1"/>
  <c r="D68" i="4"/>
  <c r="E68" i="4" s="1"/>
  <c r="D67" i="4"/>
  <c r="E67" i="4" s="1"/>
  <c r="D64" i="4"/>
  <c r="E64" i="4" s="1"/>
  <c r="H58" i="4"/>
  <c r="E63" i="4"/>
  <c r="B69" i="4"/>
  <c r="B70" i="4" s="1"/>
  <c r="B71" i="4" s="1"/>
  <c r="B72" i="4" s="1"/>
  <c r="B73" i="4" s="1"/>
  <c r="B74" i="4" s="1"/>
  <c r="B75" i="4" s="1"/>
  <c r="I10" i="4"/>
  <c r="J22" i="5" l="1"/>
  <c r="E69" i="4"/>
  <c r="F64" i="4" s="1"/>
  <c r="D73" i="4"/>
  <c r="E73" i="4" s="1"/>
  <c r="D71" i="4"/>
  <c r="E71" i="4" s="1"/>
  <c r="D74" i="4"/>
  <c r="E74" i="4" s="1"/>
  <c r="D70" i="4"/>
  <c r="E70" i="4" s="1"/>
  <c r="D72" i="4"/>
  <c r="E72" i="4" s="1"/>
  <c r="D75" i="4"/>
  <c r="E75" i="4" s="1"/>
  <c r="B34" i="3"/>
  <c r="F58" i="4"/>
  <c r="B81" i="4"/>
  <c r="E76" i="4" l="1"/>
  <c r="B82" i="4"/>
  <c r="B83" i="4" s="1"/>
  <c r="B84" i="4" s="1"/>
  <c r="B85" i="4" s="1"/>
  <c r="B86" i="4" s="1"/>
  <c r="B87" i="4" s="1"/>
  <c r="B88" i="4" s="1"/>
  <c r="B89" i="4" s="1"/>
  <c r="B90" i="4" s="1"/>
  <c r="B91" i="4" s="1"/>
  <c r="B92" i="4" s="1"/>
  <c r="J25" i="5"/>
  <c r="H70" i="4"/>
  <c r="D81" i="4"/>
  <c r="E81" i="4" s="1"/>
  <c r="D88" i="4"/>
  <c r="E88" i="4" s="1"/>
  <c r="D92" i="4"/>
  <c r="E92" i="4" s="1"/>
  <c r="D90" i="4"/>
  <c r="E90" i="4" s="1"/>
  <c r="D85" i="4"/>
  <c r="E85" i="4" s="1"/>
  <c r="D89" i="4"/>
  <c r="E89" i="4" s="1"/>
  <c r="D84" i="4"/>
  <c r="E84" i="4" s="1"/>
  <c r="D83" i="4"/>
  <c r="E83" i="4" s="1"/>
  <c r="D87" i="4"/>
  <c r="E87" i="4" s="1"/>
  <c r="D91" i="4"/>
  <c r="E91" i="4" s="1"/>
  <c r="D86" i="4"/>
  <c r="E86" i="4" s="1"/>
  <c r="D82" i="4"/>
  <c r="E82" i="4" s="1"/>
  <c r="F70" i="4"/>
  <c r="J26" i="5" l="1"/>
  <c r="E20" i="3" s="1"/>
  <c r="E18" i="3"/>
  <c r="F81" i="4"/>
  <c r="J81" i="4"/>
  <c r="F16" i="4"/>
  <c r="H16" i="4"/>
  <c r="G16" i="4" l="1"/>
  <c r="I16" i="4"/>
  <c r="F22" i="4" l="1"/>
  <c r="H22" i="4"/>
  <c r="G22" i="4" l="1"/>
  <c r="I22" i="4" s="1"/>
  <c r="F28" i="4" l="1"/>
  <c r="H28" i="4"/>
  <c r="G28" i="4" l="1"/>
  <c r="I28" i="4" s="1"/>
  <c r="F34" i="4" l="1"/>
  <c r="G34" i="4" s="1"/>
  <c r="H34" i="4"/>
  <c r="I34" i="4" l="1"/>
  <c r="F40" i="4" l="1"/>
  <c r="G40" i="4" s="1"/>
  <c r="H40" i="4"/>
  <c r="I40" i="4" l="1"/>
  <c r="H46" i="4" l="1"/>
  <c r="H76" i="4" s="1"/>
  <c r="F46" i="4"/>
  <c r="G46" i="4" s="1"/>
  <c r="I46" i="4" l="1"/>
  <c r="F52" i="4" l="1"/>
  <c r="G52" i="4" l="1"/>
  <c r="F76" i="4"/>
  <c r="G58" i="4"/>
  <c r="I52" i="4"/>
  <c r="I58" i="4" l="1"/>
  <c r="G64" i="4"/>
  <c r="F82" i="4"/>
  <c r="F83" i="4" s="1"/>
  <c r="F84" i="4" s="1"/>
  <c r="F85" i="4" s="1"/>
  <c r="F86" i="4" s="1"/>
  <c r="F87" i="4" s="1"/>
  <c r="F88" i="4" s="1"/>
  <c r="F89" i="4" s="1"/>
  <c r="F90" i="4" s="1"/>
  <c r="F91" i="4" s="1"/>
  <c r="F92" i="4" s="1"/>
  <c r="G70" i="4" l="1"/>
  <c r="G76" i="4" s="1"/>
  <c r="I64" i="4"/>
  <c r="I70" i="4" l="1"/>
  <c r="I76" i="4" s="1"/>
  <c r="G81" i="4"/>
  <c r="H81" i="4" l="1"/>
  <c r="G82" i="4"/>
  <c r="H82" i="4" l="1"/>
  <c r="G83" i="4"/>
  <c r="G84" i="4" l="1"/>
  <c r="H83" i="4"/>
  <c r="H84" i="4" l="1"/>
  <c r="G85" i="4"/>
  <c r="H85" i="4" l="1"/>
  <c r="G86" i="4"/>
  <c r="G87" i="4" l="1"/>
  <c r="H86" i="4"/>
  <c r="G88" i="4" l="1"/>
  <c r="H87" i="4"/>
  <c r="G89" i="4" l="1"/>
  <c r="H88" i="4"/>
  <c r="G90" i="4" l="1"/>
  <c r="H89" i="4"/>
  <c r="H90" i="4" l="1"/>
  <c r="G91" i="4"/>
  <c r="G92" i="4" l="1"/>
  <c r="H91" i="4"/>
  <c r="K81" i="4" l="1"/>
  <c r="B36" i="3" s="1"/>
  <c r="H92" i="4"/>
  <c r="I81" i="4" s="1"/>
  <c r="B3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6" authorId="0" shapeId="0" xr:uid="{3EF24CCC-E3EA-4FA0-B8EE-772723D6EF23}">
      <text>
        <r>
          <rPr>
            <b/>
            <sz val="9"/>
            <color indexed="81"/>
            <rFont val="Tahoma"/>
            <family val="2"/>
          </rPr>
          <t xml:space="preserve">Salario para 2024
</t>
        </r>
      </text>
    </comment>
    <comment ref="A28" authorId="0" shapeId="0" xr:uid="{43C2CAEF-907D-4535-B6E3-55164E2FCF46}">
      <text>
        <r>
          <rPr>
            <sz val="9"/>
            <color indexed="81"/>
            <rFont val="Tahoma"/>
            <family val="2"/>
          </rPr>
          <t>Corresponde a la tasa de interés que aplicará a tu crédito mes a mes.</t>
        </r>
      </text>
    </comment>
    <comment ref="A30" authorId="0" shapeId="0" xr:uid="{BFA67515-1C1C-4E30-9E3E-EBA35C677AD4}">
      <text>
        <r>
          <rPr>
            <sz val="8"/>
            <color indexed="81"/>
            <rFont val="Tahoma"/>
            <family val="2"/>
          </rPr>
          <t xml:space="preserve">Periodo para el pago de la deuda, el cual cuenta a partir de la fecha de graduación, o del momento en el que se cumpla el periodo de gracia, o de ser reportado como desertor (abandono del programa académico), por el Ministerio de Educación Nacional al ICETEX.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Juliana Aragon Acevedo</author>
  </authors>
  <commentList>
    <comment ref="I3" authorId="0" shapeId="0" xr:uid="{1A7EC9B5-01CA-4A97-9727-40ABFFA93DAE}">
      <text>
        <r>
          <rPr>
            <b/>
            <sz val="9"/>
            <color indexed="81"/>
            <rFont val="Tahoma"/>
            <family val="2"/>
          </rPr>
          <t>USER:</t>
        </r>
        <r>
          <rPr>
            <sz val="9"/>
            <color indexed="81"/>
            <rFont val="Tahoma"/>
            <family val="2"/>
          </rPr>
          <t xml:space="preserve">
Ajustar de acuerdo al SMMLV definido para que año.</t>
        </r>
      </text>
    </comment>
    <comment ref="I9" authorId="0" shapeId="0" xr:uid="{DB3C9917-D968-422D-ADB7-781DD8019D2F}">
      <text>
        <r>
          <rPr>
            <b/>
            <sz val="9"/>
            <color indexed="81"/>
            <rFont val="Tahoma"/>
            <family val="2"/>
          </rPr>
          <t>USER:</t>
        </r>
        <r>
          <rPr>
            <sz val="9"/>
            <color indexed="81"/>
            <rFont val="Tahoma"/>
            <family val="2"/>
          </rPr>
          <t xml:space="preserve">
Para el ejercicio de simulación se toma el valor de los dos primeros desembolsos. </t>
        </r>
      </text>
    </comment>
    <comment ref="I17" authorId="1" shapeId="0" xr:uid="{E0086E74-B712-4A7A-8431-994B119355B5}">
      <text>
        <r>
          <rPr>
            <b/>
            <sz val="9"/>
            <color indexed="81"/>
            <rFont val="Tahoma"/>
            <family val="2"/>
          </rPr>
          <t>Juliana Aragon Acevedo:</t>
        </r>
        <r>
          <rPr>
            <sz val="9"/>
            <color indexed="81"/>
            <rFont val="Tahoma"/>
            <family val="2"/>
          </rPr>
          <t xml:space="preserve">
Se define de acuerdo al nivel de ingreso mensualt total 
</t>
        </r>
      </text>
    </comment>
  </commentList>
</comments>
</file>

<file path=xl/sharedStrings.xml><?xml version="1.0" encoding="utf-8"?>
<sst xmlns="http://schemas.openxmlformats.org/spreadsheetml/2006/main" count="93" uniqueCount="84">
  <si>
    <t xml:space="preserve">Ingresos en SMMLV </t>
  </si>
  <si>
    <t>SMMLV de referencia</t>
  </si>
  <si>
    <t>Tipo de vinculación laboral</t>
  </si>
  <si>
    <t>Valor de la cuota</t>
  </si>
  <si>
    <t>Rango de ingreso</t>
  </si>
  <si>
    <t>Dependiente</t>
  </si>
  <si>
    <t>Independiente</t>
  </si>
  <si>
    <t xml:space="preserve">Rango de ingreso </t>
  </si>
  <si>
    <t>Tarifas aplicables</t>
  </si>
  <si>
    <t>Tipo vinculación laboral</t>
  </si>
  <si>
    <t>1 SMMLV</t>
  </si>
  <si>
    <t>2 SMMLV</t>
  </si>
  <si>
    <t>4 SMMLV</t>
  </si>
  <si>
    <t>8 SMMLV</t>
  </si>
  <si>
    <t xml:space="preserve">Tarifa marginal (TM )
</t>
  </si>
  <si>
    <t>TM1</t>
  </si>
  <si>
    <t>TM2</t>
  </si>
  <si>
    <t xml:space="preserve">TM3 </t>
  </si>
  <si>
    <t>TM4</t>
  </si>
  <si>
    <t>Banda superior del rango de ingreso (SMMLV)
(Menor o igual que)</t>
  </si>
  <si>
    <t>Modelo de costo</t>
  </si>
  <si>
    <t xml:space="preserve">Valor anual del desembolso superior o igual a 24 SMMLV </t>
  </si>
  <si>
    <r>
      <t xml:space="preserve">Estándar
</t>
    </r>
    <r>
      <rPr>
        <sz val="14"/>
        <color theme="1"/>
        <rFont val="Calibri"/>
        <family val="2"/>
        <scheme val="minor"/>
      </rPr>
      <t xml:space="preserve"> (Valores anuales de los desembolsos de la nueva obligación menores a  24 SMMLV)</t>
    </r>
  </si>
  <si>
    <t>Desembolso semestral en SMMLV</t>
  </si>
  <si>
    <r>
      <t xml:space="preserve">Nota: La contribución se calcula como:  
Rango ingreso  0: No debe pagar
Rango ingreso  1: (IMT- 1 smmlv) * TM 1 
Rango ingreso  2: (1 smmlv * TM 1 ) + ((IMT- 2smmlv) * TM 2)
Rango ingreso  3: (1 smmlv * TM 1) + (2smmlv * TM 2) + ((IMT- 4 smmlv) * TM 3)
Rango ingreso  4: (1 smmlv * TM 1 ) + (2smmlv * TM 2) + (4smmlv * TM 3) + ((IMT- 8 smmlv) * TM 4)
</t>
    </r>
    <r>
      <rPr>
        <b/>
        <sz val="14"/>
        <color theme="1"/>
        <rFont val="Calibri"/>
        <family val="2"/>
        <scheme val="minor"/>
      </rPr>
      <t>IT: Ingreso Total, TM: Tarifa Marginal</t>
    </r>
  </si>
  <si>
    <t>Porcentaje del ingreso destinado al pago de la cuota</t>
  </si>
  <si>
    <t>Banda inferior del rango ingreso (SMMLV) 
(Mayor a)</t>
  </si>
  <si>
    <r>
      <t xml:space="preserve">Alto
</t>
    </r>
    <r>
      <rPr>
        <sz val="14"/>
        <color theme="1"/>
        <rFont val="Calibri"/>
        <family val="2"/>
        <scheme val="minor"/>
      </rPr>
      <t xml:space="preserve"> (Valores anuales de los desembolsos de la nueva obligación iguales o mayores a  24 SMMLV)</t>
    </r>
  </si>
  <si>
    <t>No. Desembolso</t>
  </si>
  <si>
    <t>Mes</t>
  </si>
  <si>
    <t>Valor desembolsado</t>
  </si>
  <si>
    <t>Saldo capital</t>
  </si>
  <si>
    <t>Capital</t>
  </si>
  <si>
    <t>Intereses causados por mes</t>
  </si>
  <si>
    <t>Saldo intereses del periodo</t>
  </si>
  <si>
    <t>Saldo intereses acumulados</t>
  </si>
  <si>
    <t>Saldo de crédito</t>
  </si>
  <si>
    <t>Totales</t>
  </si>
  <si>
    <t>EN PERIODO DE ESTUDIOS</t>
  </si>
  <si>
    <t>Saldo capital periodo de amortización</t>
  </si>
  <si>
    <t>Intereses mensuales causados</t>
  </si>
  <si>
    <t>Saldo acumulado de intereses totales</t>
  </si>
  <si>
    <t>Saldo crédito</t>
  </si>
  <si>
    <t>Saldo paso al cobro</t>
  </si>
  <si>
    <t>Tabla de amortización - Periodo de gracia - 12 meses</t>
  </si>
  <si>
    <t>Periodo de estudios PCI</t>
  </si>
  <si>
    <t xml:space="preserve">Tasa de intéres </t>
  </si>
  <si>
    <t xml:space="preserve">Supuestos generales </t>
  </si>
  <si>
    <t xml:space="preserve">Línea de crédito </t>
  </si>
  <si>
    <t>Valor semestre</t>
  </si>
  <si>
    <t>IPC año anterior E.A.</t>
  </si>
  <si>
    <t>Número de semestres financiados</t>
  </si>
  <si>
    <t xml:space="preserve">Condiciones del crédito </t>
  </si>
  <si>
    <t>% de pago en epoca de estudios</t>
  </si>
  <si>
    <t xml:space="preserve">Plazo de amortización </t>
  </si>
  <si>
    <t>Valor estimado de desembolsos</t>
  </si>
  <si>
    <t>Pago contingente al ingreso</t>
  </si>
  <si>
    <t>Incremento anual de matrículas (IPC + 2%) N.A</t>
  </si>
  <si>
    <t>Periodo de gracia (meses)</t>
  </si>
  <si>
    <t>IPC + 9%</t>
  </si>
  <si>
    <t>Tasa de interés Mes Vencido M.V.</t>
  </si>
  <si>
    <t xml:space="preserve">Paso al cobro (semestre) </t>
  </si>
  <si>
    <t xml:space="preserve">Tabla de amortización - Etapa de estudios Línea Pago Contingente al Ingreso </t>
  </si>
  <si>
    <t>Intereses mensuales acumulados causados en periodo de gracia</t>
  </si>
  <si>
    <t>Etapa de estudios</t>
  </si>
  <si>
    <t xml:space="preserve">Tasa de interes E.A. </t>
  </si>
  <si>
    <t>Etapa de amortización</t>
  </si>
  <si>
    <t>Intereses (periodo de estudios + gracia)</t>
  </si>
  <si>
    <t xml:space="preserve">¿Cuánto pagarías cada mes? </t>
  </si>
  <si>
    <t>¿Cuánto es tu ingreso mensual?</t>
  </si>
  <si>
    <t>Valor desembolso Primeros dos semestres</t>
  </si>
  <si>
    <t xml:space="preserve"> Línea Pago Contingente al Ingreso - Recien graduado</t>
  </si>
  <si>
    <t>Hasta 20 años*</t>
  </si>
  <si>
    <t xml:space="preserve">Tasa de intéres Nóminal Anual N.A. </t>
  </si>
  <si>
    <t>Porcentaje del ingreso destinado al pago mensual</t>
  </si>
  <si>
    <t>Escenario</t>
  </si>
  <si>
    <t xml:space="preserve">Nota: Los tarifas están basadas en lo dispuesto por el Decreto Reglamentario 1009 de Junio de 2022. </t>
  </si>
  <si>
    <t>Salario mínimo mensual legal vigente (SMMLV)</t>
  </si>
  <si>
    <t xml:space="preserve">Saldo total a pagar </t>
  </si>
  <si>
    <t>* Sí pasados los 20 años establecidos para el pago, no has podido pagar la totalidad de la deuda, el saldo pendiente será cancelado.</t>
  </si>
  <si>
    <r>
      <t xml:space="preserve">Ten en cuenta que el valor del pago mensual </t>
    </r>
    <r>
      <rPr>
        <b/>
        <u/>
        <sz val="11"/>
        <rFont val="Calibri"/>
        <family val="2"/>
        <scheme val="minor"/>
      </rPr>
      <t>varía con respecto a tu ingreso mensual</t>
    </r>
    <r>
      <rPr>
        <sz val="11"/>
        <rFont val="Calibri"/>
        <family val="2"/>
        <scheme val="minor"/>
      </rPr>
      <t xml:space="preserve">, es decir que si este aumenta, el valor del pago mensual tambien lo hará, puedes ver como cambia seleccionando diferentes valores de ingreso.
</t>
    </r>
  </si>
  <si>
    <r>
      <rPr>
        <b/>
        <sz val="11"/>
        <color theme="1"/>
        <rFont val="Calibri"/>
        <family val="2"/>
        <scheme val="minor"/>
      </rPr>
      <t>Nota</t>
    </r>
    <r>
      <rPr>
        <b/>
        <sz val="10"/>
        <color theme="1"/>
        <rFont val="Calibri"/>
        <family val="2"/>
        <scheme val="minor"/>
      </rPr>
      <t xml:space="preserve">: </t>
    </r>
    <r>
      <rPr>
        <sz val="10"/>
        <color theme="1"/>
        <rFont val="Calibri"/>
        <family val="2"/>
        <scheme val="minor"/>
      </rPr>
      <t xml:space="preserve">Los resultados que arroja este simulador son una proyección aproximada que no comprometen a ICETEX a mantener las condiciones de plazo, tasa o monto de la deuda, entre otras. No comprenden el Aporte de Invalidez y muerte- AFIM, costos de transacción ni cualquier otro costo que pueda generar el crédito. Tampoco implica la obligación para la entidad de otorgar efectivamente la operación simulada.  Los valores reales al momento de otorgar el crédito podrán ser modificados de conformidad con la variación de las tasas de interés.
Los ingresos presentados en este simulador se usan exclusivamente para ejemplificar las variaciones del pago mensual de acuerdo a un ingreso determinado, no corresponden a valores reales, cabe resaltar que la variable de ingreso dependerá entre otras cosas del comportamiento del mercado laboral y las condiciones de la economía. El ejercicio de simulación del pago mensual aquí contemplado, se realiza con base en las tarifas para empleados dependientes definidas en el </t>
    </r>
    <r>
      <rPr>
        <b/>
        <sz val="10"/>
        <color theme="1"/>
        <rFont val="Calibri"/>
        <family val="2"/>
        <scheme val="minor"/>
      </rPr>
      <t>Decreto 1009 de 2022</t>
    </r>
    <r>
      <rPr>
        <sz val="10"/>
        <color theme="1"/>
        <rFont val="Calibri"/>
        <family val="2"/>
        <scheme val="minor"/>
      </rPr>
      <t xml:space="preserve">.
El pago mensual está definido por el reglamento vigente (Decreto 1009 de 2022), y siempre que perciba ingresos superiores a un (1) S.M.M.L.V en un plazo de 20 años contados a partir de la fecha de graduación, o del momento en el que se cumpla el periodo de gracia, o de ser reportado como desertor (abandono del programa académico), por el Ministerio de Educación Nacional al ICETEX. </t>
    </r>
  </si>
  <si>
    <t xml:space="preserve">Simulador Línea de crédito - Pago Contingente al Ingreso </t>
  </si>
  <si>
    <t xml:space="preserve">Si tu ingreso mensual es menor o igual a 1 SMMLV, el valor del pago mensual será de $0. Para el 2024 un salario mínimo es un $1.300.000 pesos. Esto no generará intereses de mora sobre tu crédito.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</si>
</sst>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4" formatCode="_-&quot;$&quot;\ * #,##0.00_-;\-&quot;$&quot;\ * #,##0.00_-;_-&quot;$&quot;\ * &quot;-&quot;??_-;_-@_-"/>
    <numFmt numFmtId="164" formatCode="0.0%"/>
    <numFmt numFmtId="165" formatCode="_-* #,##0\ &quot;€&quot;_-;\-* #,##0\ &quot;€&quot;_-;_-* &quot;-&quot;\ &quot;€&quot;_-;_-@_-"/>
    <numFmt numFmtId="166" formatCode="_-[$$-240A]\ * #,##0_-;\-[$$-240A]\ * #,##0_-;_-[$$-240A]\ * &quot;-&quot;??_-;_-@_-"/>
    <numFmt numFmtId="167" formatCode="_-&quot;$&quot;\ * #,##0_-;\-&quot;$&quot;\ * #,##0_-;_-&quot;$&quot;\ * &quot;-&quot;??_-;_-@_-"/>
  </numFmts>
  <fonts count="26" x14ac:knownFonts="1">
    <font>
      <sz val="11"/>
      <color theme="1"/>
      <name val="Calibri"/>
      <family val="2"/>
      <scheme val="minor"/>
    </font>
    <font>
      <sz val="11"/>
      <color theme="1"/>
      <name val="Calibri"/>
      <family val="2"/>
      <scheme val="minor"/>
    </font>
    <font>
      <b/>
      <sz val="11"/>
      <color theme="0"/>
      <name val="Calibri"/>
      <family val="2"/>
      <scheme val="minor"/>
    </font>
    <font>
      <b/>
      <sz val="14"/>
      <color theme="1"/>
      <name val="Calibri"/>
      <family val="2"/>
      <scheme val="minor"/>
    </font>
    <font>
      <b/>
      <sz val="18"/>
      <color theme="1"/>
      <name val="Calibri"/>
      <family val="2"/>
      <scheme val="minor"/>
    </font>
    <font>
      <b/>
      <sz val="14"/>
      <color theme="0"/>
      <name val="Calibri"/>
      <family val="2"/>
      <scheme val="minor"/>
    </font>
    <font>
      <sz val="18"/>
      <color theme="1"/>
      <name val="Calibri"/>
      <family val="2"/>
      <scheme val="minor"/>
    </font>
    <font>
      <sz val="14"/>
      <color theme="1"/>
      <name val="Calibri"/>
      <family val="2"/>
      <scheme val="minor"/>
    </font>
    <font>
      <b/>
      <sz val="14"/>
      <name val="Calibri"/>
      <family val="2"/>
      <scheme val="minor"/>
    </font>
    <font>
      <sz val="9"/>
      <color indexed="81"/>
      <name val="Tahoma"/>
      <family val="2"/>
    </font>
    <font>
      <b/>
      <sz val="9"/>
      <color indexed="81"/>
      <name val="Tahoma"/>
      <family val="2"/>
    </font>
    <font>
      <b/>
      <sz val="11"/>
      <name val="Calibri"/>
      <family val="2"/>
      <scheme val="minor"/>
    </font>
    <font>
      <b/>
      <sz val="11"/>
      <color theme="1"/>
      <name val="Calibri"/>
      <family val="2"/>
      <scheme val="minor"/>
    </font>
    <font>
      <sz val="10"/>
      <name val="Arial"/>
      <family val="2"/>
    </font>
    <font>
      <b/>
      <sz val="18"/>
      <color theme="0"/>
      <name val="Calibri"/>
      <family val="2"/>
      <scheme val="minor"/>
    </font>
    <font>
      <sz val="11"/>
      <color theme="0"/>
      <name val="Calibri"/>
      <family val="2"/>
      <scheme val="minor"/>
    </font>
    <font>
      <sz val="11"/>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20"/>
      <color rgb="FF002060"/>
      <name val="Calibri"/>
      <family val="2"/>
      <scheme val="minor"/>
    </font>
    <font>
      <sz val="12"/>
      <color theme="1"/>
      <name val="Calibri"/>
      <family val="2"/>
      <scheme val="minor"/>
    </font>
    <font>
      <b/>
      <sz val="12"/>
      <name val="Calibri"/>
      <family val="2"/>
      <scheme val="minor"/>
    </font>
    <font>
      <b/>
      <u/>
      <sz val="11"/>
      <name val="Calibri"/>
      <family val="2"/>
      <scheme val="minor"/>
    </font>
    <font>
      <sz val="8"/>
      <color indexed="81"/>
      <name val="Tahoma"/>
      <family val="2"/>
    </font>
    <font>
      <sz val="14"/>
      <color theme="0"/>
      <name val="Calibri"/>
      <family val="2"/>
      <scheme val="minor"/>
    </font>
  </fonts>
  <fills count="16">
    <fill>
      <patternFill patternType="none"/>
    </fill>
    <fill>
      <patternFill patternType="gray125"/>
    </fill>
    <fill>
      <patternFill patternType="solid">
        <fgColor rgb="FF92D050"/>
        <bgColor indexed="64"/>
      </patternFill>
    </fill>
    <fill>
      <patternFill patternType="solid">
        <fgColor theme="4" tint="0.79998168889431442"/>
        <bgColor indexed="64"/>
      </patternFill>
    </fill>
    <fill>
      <patternFill patternType="solid">
        <fgColor rgb="FF002060"/>
        <bgColor indexed="64"/>
      </patternFill>
    </fill>
    <fill>
      <patternFill patternType="solid">
        <fgColor rgb="FFD40A1D"/>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7"/>
        <bgColor indexed="64"/>
      </patternFill>
    </fill>
    <fill>
      <patternFill patternType="solid">
        <fgColor theme="2"/>
        <bgColor indexed="64"/>
      </patternFill>
    </fill>
    <fill>
      <patternFill patternType="solid">
        <fgColor rgb="FFFFB3B3"/>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42"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9" fontId="13" fillId="0" borderId="0" applyFont="0" applyFill="0" applyBorder="0" applyAlignment="0" applyProtection="0"/>
    <xf numFmtId="44" fontId="1" fillId="0" borderId="0" applyFont="0" applyFill="0" applyBorder="0" applyAlignment="0" applyProtection="0"/>
  </cellStyleXfs>
  <cellXfs count="168">
    <xf numFmtId="0" fontId="0" fillId="0" borderId="0" xfId="0"/>
    <xf numFmtId="0" fontId="7" fillId="0" borderId="0" xfId="0" applyFont="1"/>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3" fillId="3" borderId="13" xfId="0" applyFont="1" applyFill="1" applyBorder="1" applyAlignment="1">
      <alignment vertical="center"/>
    </xf>
    <xf numFmtId="0" fontId="3" fillId="0" borderId="13" xfId="0" applyFont="1" applyBorder="1" applyAlignment="1">
      <alignment vertical="center"/>
    </xf>
    <xf numFmtId="42" fontId="7" fillId="0" borderId="6" xfId="0" applyNumberFormat="1" applyFont="1" applyBorder="1" applyAlignment="1">
      <alignment vertical="center"/>
    </xf>
    <xf numFmtId="42" fontId="7" fillId="0" borderId="6" xfId="0" applyNumberFormat="1" applyFont="1" applyBorder="1"/>
    <xf numFmtId="0" fontId="7" fillId="0" borderId="13" xfId="0" applyFont="1" applyBorder="1"/>
    <xf numFmtId="0" fontId="3" fillId="0" borderId="13" xfId="0" applyFont="1" applyBorder="1"/>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3" fillId="0" borderId="13" xfId="0" applyFont="1" applyBorder="1" applyAlignment="1">
      <alignment vertical="center" wrapText="1"/>
    </xf>
    <xf numFmtId="42" fontId="0" fillId="3" borderId="6" xfId="1" applyFont="1" applyFill="1" applyBorder="1"/>
    <xf numFmtId="0" fontId="0" fillId="0" borderId="6" xfId="0" applyBorder="1"/>
    <xf numFmtId="0" fontId="0" fillId="0" borderId="13" xfId="0" applyBorder="1"/>
    <xf numFmtId="0" fontId="7" fillId="0" borderId="6" xfId="0" applyFont="1" applyBorder="1" applyAlignment="1" applyProtection="1">
      <alignment vertical="center"/>
      <protection hidden="1"/>
    </xf>
    <xf numFmtId="10" fontId="12" fillId="0" borderId="0" xfId="2" applyNumberFormat="1" applyFont="1" applyBorder="1"/>
    <xf numFmtId="165" fontId="12" fillId="0" borderId="0" xfId="3" applyFont="1" applyBorder="1"/>
    <xf numFmtId="166" fontId="12" fillId="0" borderId="0" xfId="3" applyNumberFormat="1" applyFont="1" applyBorder="1"/>
    <xf numFmtId="0" fontId="12" fillId="0" borderId="0" xfId="0" applyFont="1"/>
    <xf numFmtId="3" fontId="12" fillId="0" borderId="0" xfId="0" applyNumberFormat="1" applyFont="1"/>
    <xf numFmtId="42" fontId="0" fillId="0" borderId="0" xfId="0" applyNumberFormat="1"/>
    <xf numFmtId="0" fontId="0" fillId="0" borderId="0" xfId="0"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4" fillId="0" borderId="0" xfId="0" applyFont="1" applyAlignment="1">
      <alignment vertical="center"/>
    </xf>
    <xf numFmtId="0" fontId="0" fillId="0" borderId="1" xfId="0" applyBorder="1" applyAlignment="1">
      <alignment horizontal="center" vertical="center"/>
    </xf>
    <xf numFmtId="42" fontId="0" fillId="0" borderId="1" xfId="1" applyFont="1" applyFill="1" applyBorder="1"/>
    <xf numFmtId="42" fontId="4" fillId="0" borderId="23" xfId="1" applyFont="1" applyBorder="1"/>
    <xf numFmtId="42" fontId="6" fillId="0" borderId="8" xfId="1" applyFont="1" applyBorder="1" applyAlignment="1">
      <alignment horizontal="center" vertical="center"/>
    </xf>
    <xf numFmtId="42" fontId="6" fillId="0" borderId="8" xfId="1" applyFont="1" applyBorder="1"/>
    <xf numFmtId="42" fontId="4" fillId="0" borderId="8" xfId="1" applyFont="1" applyBorder="1"/>
    <xf numFmtId="42" fontId="6" fillId="0" borderId="9" xfId="1" applyFont="1" applyBorder="1"/>
    <xf numFmtId="3" fontId="0" fillId="0" borderId="1" xfId="0" applyNumberFormat="1" applyBorder="1"/>
    <xf numFmtId="0" fontId="12" fillId="3" borderId="22" xfId="0" applyFont="1" applyFill="1" applyBorder="1" applyAlignment="1">
      <alignment horizontal="center" vertical="center" wrapText="1"/>
    </xf>
    <xf numFmtId="0" fontId="2" fillId="5" borderId="1" xfId="0" applyFont="1" applyFill="1" applyBorder="1" applyAlignment="1">
      <alignment horizontal="center"/>
    </xf>
    <xf numFmtId="1" fontId="0" fillId="0" borderId="6" xfId="0" applyNumberFormat="1" applyBorder="1"/>
    <xf numFmtId="0" fontId="7" fillId="0" borderId="6" xfId="0" applyFont="1" applyBorder="1" applyAlignment="1" applyProtection="1">
      <alignment horizontal="right"/>
      <protection hidden="1"/>
    </xf>
    <xf numFmtId="9" fontId="7" fillId="0" borderId="6" xfId="2" applyFont="1" applyBorder="1" applyAlignment="1" applyProtection="1">
      <alignment horizontal="right"/>
      <protection hidden="1"/>
    </xf>
    <xf numFmtId="0" fontId="7" fillId="0" borderId="6" xfId="0" applyFont="1" applyBorder="1" applyAlignment="1">
      <alignment vertical="center"/>
    </xf>
    <xf numFmtId="0" fontId="0" fillId="0" borderId="11" xfId="0" applyBorder="1"/>
    <xf numFmtId="0" fontId="0" fillId="0" borderId="25" xfId="0" applyBorder="1"/>
    <xf numFmtId="42" fontId="7" fillId="0" borderId="6" xfId="0" applyNumberFormat="1" applyFont="1" applyBorder="1" applyAlignment="1" applyProtection="1">
      <alignment horizontal="right" vertical="center"/>
      <protection hidden="1"/>
    </xf>
    <xf numFmtId="0" fontId="3" fillId="3" borderId="1" xfId="0" applyFont="1" applyFill="1" applyBorder="1" applyAlignment="1">
      <alignment vertical="center"/>
    </xf>
    <xf numFmtId="42" fontId="7" fillId="3" borderId="1" xfId="1" applyFont="1" applyFill="1" applyBorder="1" applyAlignment="1">
      <alignment vertical="center"/>
    </xf>
    <xf numFmtId="0" fontId="4" fillId="9" borderId="13" xfId="0" applyFont="1" applyFill="1" applyBorder="1" applyAlignment="1">
      <alignment vertical="center"/>
    </xf>
    <xf numFmtId="42" fontId="6" fillId="9" borderId="6" xfId="1" applyFont="1" applyFill="1" applyBorder="1" applyAlignment="1" applyProtection="1">
      <alignment vertical="center"/>
      <protection hidden="1"/>
    </xf>
    <xf numFmtId="164" fontId="6" fillId="9" borderId="6" xfId="2" applyNumberFormat="1" applyFont="1" applyFill="1" applyBorder="1" applyAlignment="1" applyProtection="1">
      <alignment vertical="center"/>
      <protection hidden="1"/>
    </xf>
    <xf numFmtId="0" fontId="3" fillId="10" borderId="13" xfId="0" applyFont="1" applyFill="1" applyBorder="1" applyAlignment="1">
      <alignment vertical="center"/>
    </xf>
    <xf numFmtId="0" fontId="7" fillId="10" borderId="6" xfId="0" applyFont="1" applyFill="1" applyBorder="1" applyAlignment="1" applyProtection="1">
      <alignment vertical="center"/>
      <protection hidden="1"/>
    </xf>
    <xf numFmtId="0" fontId="0" fillId="0" borderId="34" xfId="0" applyBorder="1" applyAlignment="1">
      <alignment horizontal="center" vertical="center"/>
    </xf>
    <xf numFmtId="42" fontId="0" fillId="0" borderId="34" xfId="1" applyFont="1" applyFill="1" applyBorder="1"/>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164" fontId="7" fillId="0" borderId="4" xfId="0" applyNumberFormat="1" applyFont="1" applyBorder="1" applyAlignment="1">
      <alignment horizontal="center" vertical="center"/>
    </xf>
    <xf numFmtId="164" fontId="7" fillId="0" borderId="6" xfId="0" applyNumberFormat="1" applyFont="1" applyBorder="1" applyAlignment="1">
      <alignment horizontal="center" vertical="center"/>
    </xf>
    <xf numFmtId="164" fontId="7" fillId="0" borderId="9" xfId="0" applyNumberFormat="1" applyFont="1" applyBorder="1" applyAlignment="1">
      <alignment horizontal="center" vertical="center"/>
    </xf>
    <xf numFmtId="164" fontId="7" fillId="0" borderId="6" xfId="2" applyNumberFormat="1" applyFont="1" applyBorder="1" applyAlignment="1">
      <alignment horizontal="center" vertical="center"/>
    </xf>
    <xf numFmtId="164" fontId="7" fillId="0" borderId="9" xfId="2" applyNumberFormat="1" applyFont="1" applyBorder="1" applyAlignment="1">
      <alignment horizontal="center" vertical="center"/>
    </xf>
    <xf numFmtId="0" fontId="0" fillId="0" borderId="0" xfId="0" applyProtection="1">
      <protection locked="0"/>
    </xf>
    <xf numFmtId="0" fontId="15" fillId="4" borderId="13" xfId="0" applyFont="1" applyFill="1" applyBorder="1" applyProtection="1">
      <protection locked="0"/>
    </xf>
    <xf numFmtId="44" fontId="0" fillId="7" borderId="6" xfId="5" applyFont="1" applyFill="1" applyBorder="1" applyAlignment="1" applyProtection="1">
      <alignment vertical="center"/>
      <protection locked="0"/>
    </xf>
    <xf numFmtId="44" fontId="0" fillId="7" borderId="6" xfId="5" applyFont="1" applyFill="1" applyBorder="1" applyProtection="1">
      <protection locked="0"/>
    </xf>
    <xf numFmtId="9" fontId="0" fillId="0" borderId="0" xfId="0" applyNumberFormat="1" applyProtection="1">
      <protection locked="0"/>
    </xf>
    <xf numFmtId="0" fontId="0" fillId="7" borderId="6" xfId="0" applyFill="1" applyBorder="1" applyAlignment="1" applyProtection="1">
      <alignment vertical="center"/>
      <protection locked="0"/>
    </xf>
    <xf numFmtId="0" fontId="0" fillId="0" borderId="21" xfId="0" applyBorder="1" applyProtection="1">
      <protection locked="0"/>
    </xf>
    <xf numFmtId="0" fontId="15" fillId="4" borderId="13" xfId="0" applyFont="1" applyFill="1" applyBorder="1"/>
    <xf numFmtId="44" fontId="0" fillId="0" borderId="6" xfId="5" applyFont="1" applyBorder="1" applyProtection="1"/>
    <xf numFmtId="10" fontId="0" fillId="0" borderId="6" xfId="2" applyNumberFormat="1" applyFont="1" applyBorder="1" applyAlignment="1" applyProtection="1">
      <alignment horizontal="center" vertical="center"/>
    </xf>
    <xf numFmtId="10" fontId="0" fillId="0" borderId="6" xfId="2" applyNumberFormat="1" applyFont="1" applyFill="1" applyBorder="1" applyAlignment="1" applyProtection="1">
      <alignment horizontal="center" vertical="center"/>
    </xf>
    <xf numFmtId="167" fontId="0" fillId="0" borderId="6" xfId="5" applyNumberFormat="1" applyFont="1" applyFill="1" applyBorder="1" applyProtection="1"/>
    <xf numFmtId="167" fontId="0" fillId="0" borderId="6" xfId="5" applyNumberFormat="1" applyFont="1" applyBorder="1" applyProtection="1"/>
    <xf numFmtId="164" fontId="3" fillId="0" borderId="6" xfId="2" applyNumberFormat="1" applyFont="1" applyBorder="1" applyProtection="1"/>
    <xf numFmtId="10" fontId="0" fillId="0" borderId="6" xfId="2" applyNumberFormat="1" applyFont="1" applyBorder="1" applyAlignment="1" applyProtection="1">
      <alignment vertical="center"/>
    </xf>
    <xf numFmtId="44" fontId="0" fillId="0" borderId="29" xfId="5" applyFont="1" applyFill="1" applyBorder="1" applyProtection="1"/>
    <xf numFmtId="0" fontId="18" fillId="0" borderId="0" xfId="0" applyFont="1" applyAlignment="1">
      <alignment horizontal="left" vertical="top" wrapText="1"/>
    </xf>
    <xf numFmtId="0" fontId="25" fillId="15" borderId="0" xfId="0" applyFont="1" applyFill="1" applyAlignment="1">
      <alignment vertical="center"/>
    </xf>
    <xf numFmtId="42" fontId="25" fillId="15" borderId="0" xfId="0" applyNumberFormat="1" applyFont="1" applyFill="1" applyAlignment="1">
      <alignment vertical="center"/>
    </xf>
    <xf numFmtId="0" fontId="18" fillId="0" borderId="0" xfId="0" applyFont="1" applyAlignment="1">
      <alignment vertical="center"/>
    </xf>
    <xf numFmtId="0" fontId="18" fillId="0" borderId="0" xfId="0" applyFont="1" applyAlignment="1">
      <alignment vertical="center" wrapText="1"/>
    </xf>
    <xf numFmtId="0" fontId="14" fillId="4" borderId="10" xfId="0" applyFont="1" applyFill="1" applyBorder="1" applyAlignment="1">
      <alignment horizontal="center" vertical="center"/>
    </xf>
    <xf numFmtId="0" fontId="14" fillId="4" borderId="24" xfId="0" applyFont="1" applyFill="1" applyBorder="1" applyAlignment="1">
      <alignment horizontal="center" vertical="center"/>
    </xf>
    <xf numFmtId="42" fontId="0" fillId="0" borderId="1" xfId="1" applyFont="1" applyFill="1" applyBorder="1" applyAlignment="1">
      <alignment horizontal="center" vertical="center"/>
    </xf>
    <xf numFmtId="42" fontId="0" fillId="0" borderId="6" xfId="1" applyFont="1" applyFill="1" applyBorder="1" applyAlignment="1">
      <alignment horizontal="center" vertical="center"/>
    </xf>
    <xf numFmtId="42" fontId="0" fillId="0" borderId="6" xfId="0" applyNumberFormat="1" applyBorder="1" applyAlignment="1">
      <alignment horizontal="center" vertical="center"/>
    </xf>
    <xf numFmtId="3" fontId="0" fillId="0" borderId="1" xfId="0" applyNumberFormat="1" applyBorder="1" applyAlignment="1">
      <alignment horizontal="center" vertical="center"/>
    </xf>
    <xf numFmtId="0" fontId="5" fillId="4" borderId="1" xfId="0" applyFont="1" applyFill="1" applyBorder="1" applyAlignment="1">
      <alignment horizontal="center" vertical="center"/>
    </xf>
    <xf numFmtId="0" fontId="12" fillId="0" borderId="13" xfId="0" applyFont="1" applyBorder="1" applyAlignment="1">
      <alignment horizontal="center" vertical="center"/>
    </xf>
    <xf numFmtId="42" fontId="0" fillId="0" borderId="1" xfId="0" applyNumberFormat="1" applyBorder="1" applyAlignment="1">
      <alignment horizontal="center" vertical="center"/>
    </xf>
    <xf numFmtId="0" fontId="14" fillId="4" borderId="28" xfId="0" applyFont="1" applyFill="1" applyBorder="1" applyAlignment="1">
      <alignment horizontal="center" vertical="center"/>
    </xf>
    <xf numFmtId="0" fontId="12" fillId="0" borderId="33" xfId="0" applyFont="1" applyBorder="1" applyAlignment="1">
      <alignment horizontal="center" vertical="center"/>
    </xf>
    <xf numFmtId="42" fontId="0" fillId="0" borderId="34" xfId="0" applyNumberFormat="1" applyBorder="1" applyAlignment="1">
      <alignment horizontal="center" vertical="center"/>
    </xf>
    <xf numFmtId="42" fontId="0" fillId="0" borderId="34" xfId="1" applyFont="1" applyFill="1" applyBorder="1" applyAlignment="1">
      <alignment horizontal="center" vertical="center"/>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8" xfId="0" applyFont="1" applyFill="1" applyBorder="1" applyAlignment="1">
      <alignment horizontal="center" vertical="center" wrapText="1"/>
    </xf>
    <xf numFmtId="42" fontId="0" fillId="0" borderId="35" xfId="0" applyNumberFormat="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8" fillId="11" borderId="10" xfId="0" applyFont="1" applyFill="1" applyBorder="1" applyAlignment="1">
      <alignment horizontal="center" vertical="center"/>
    </xf>
    <xf numFmtId="0" fontId="8" fillId="11" borderId="11" xfId="0" applyFont="1" applyFill="1" applyBorder="1" applyAlignment="1">
      <alignment horizontal="center" vertical="center"/>
    </xf>
    <xf numFmtId="0" fontId="8" fillId="11" borderId="12"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2" borderId="5" xfId="0" applyFont="1" applyFill="1" applyBorder="1" applyAlignment="1">
      <alignment horizontal="center" vertical="center"/>
    </xf>
    <xf numFmtId="0" fontId="3" fillId="12" borderId="7" xfId="0" applyFont="1" applyFill="1" applyBorder="1" applyAlignment="1">
      <alignment horizontal="center" vertical="center"/>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3" fillId="13" borderId="2" xfId="0" applyFont="1" applyFill="1" applyBorder="1" applyAlignment="1">
      <alignment horizontal="center" vertical="center" wrapText="1"/>
    </xf>
    <xf numFmtId="0" fontId="3" fillId="13" borderId="5" xfId="0" applyFont="1" applyFill="1" applyBorder="1" applyAlignment="1">
      <alignment horizontal="center" vertical="center" wrapText="1"/>
    </xf>
    <xf numFmtId="0" fontId="3" fillId="13" borderId="7" xfId="0" applyFont="1" applyFill="1" applyBorder="1" applyAlignment="1">
      <alignment horizontal="center" vertical="center" wrapText="1"/>
    </xf>
    <xf numFmtId="0" fontId="3" fillId="14" borderId="2" xfId="0" applyFont="1" applyFill="1" applyBorder="1" applyAlignment="1">
      <alignment horizontal="center" vertical="center" wrapText="1"/>
    </xf>
    <xf numFmtId="0" fontId="3" fillId="14" borderId="5" xfId="0" applyFont="1" applyFill="1" applyBorder="1" applyAlignment="1">
      <alignment horizontal="center" vertical="center"/>
    </xf>
    <xf numFmtId="0" fontId="3" fillId="14" borderId="7" xfId="0" applyFont="1" applyFill="1" applyBorder="1" applyAlignment="1">
      <alignment horizontal="center" vertical="center"/>
    </xf>
    <xf numFmtId="0" fontId="7" fillId="0" borderId="17"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20" fillId="0" borderId="10" xfId="0" applyFont="1" applyBorder="1" applyAlignment="1" applyProtection="1">
      <alignment horizontal="center" vertical="center" wrapText="1"/>
    </xf>
    <xf numFmtId="0" fontId="20" fillId="0" borderId="28" xfId="0" applyFont="1" applyBorder="1" applyAlignment="1" applyProtection="1">
      <alignment horizontal="center" vertical="center" wrapText="1"/>
    </xf>
    <xf numFmtId="0" fontId="20" fillId="0" borderId="24" xfId="0" applyFont="1" applyBorder="1" applyAlignment="1" applyProtection="1">
      <alignment horizontal="center" vertical="center" wrapText="1"/>
    </xf>
    <xf numFmtId="0" fontId="0" fillId="0" borderId="11" xfId="0" applyBorder="1" applyProtection="1"/>
    <xf numFmtId="0" fontId="0" fillId="0" borderId="0" xfId="0" applyProtection="1"/>
    <xf numFmtId="0" fontId="0" fillId="0" borderId="25" xfId="0" applyBorder="1" applyProtection="1"/>
    <xf numFmtId="0" fontId="14" fillId="4" borderId="17" xfId="0" applyFont="1" applyFill="1" applyBorder="1" applyAlignment="1" applyProtection="1">
      <alignment horizontal="center" vertical="center"/>
    </xf>
    <xf numFmtId="0" fontId="14" fillId="4" borderId="19" xfId="0" applyFont="1" applyFill="1" applyBorder="1" applyAlignment="1" applyProtection="1">
      <alignment horizontal="center" vertical="center"/>
    </xf>
    <xf numFmtId="0" fontId="14" fillId="4" borderId="10" xfId="0" applyFont="1" applyFill="1" applyBorder="1" applyAlignment="1" applyProtection="1">
      <alignment horizontal="center" vertical="center"/>
    </xf>
    <xf numFmtId="0" fontId="14" fillId="4" borderId="24" xfId="0" applyFont="1" applyFill="1" applyBorder="1" applyAlignment="1" applyProtection="1">
      <alignment horizontal="center" vertical="center"/>
    </xf>
    <xf numFmtId="0" fontId="22" fillId="6" borderId="17" xfId="0" applyFont="1" applyFill="1" applyBorder="1" applyAlignment="1" applyProtection="1">
      <alignment horizontal="center"/>
    </xf>
    <xf numFmtId="0" fontId="22" fillId="6" borderId="19" xfId="0" applyFont="1" applyFill="1" applyBorder="1" applyAlignment="1" applyProtection="1">
      <alignment horizontal="center"/>
    </xf>
    <xf numFmtId="0" fontId="15" fillId="4" borderId="13" xfId="0" applyFont="1" applyFill="1" applyBorder="1" applyProtection="1"/>
    <xf numFmtId="0" fontId="0" fillId="0" borderId="6" xfId="0" applyBorder="1" applyAlignment="1" applyProtection="1">
      <alignment vertical="center"/>
    </xf>
    <xf numFmtId="0" fontId="0" fillId="0" borderId="25" xfId="0" applyBorder="1" applyAlignment="1" applyProtection="1">
      <alignment vertical="center"/>
    </xf>
    <xf numFmtId="0" fontId="12" fillId="9" borderId="13" xfId="0" applyFont="1" applyFill="1" applyBorder="1" applyProtection="1"/>
    <xf numFmtId="9" fontId="0" fillId="0" borderId="6" xfId="0" applyNumberFormat="1" applyBorder="1" applyAlignment="1" applyProtection="1">
      <alignment horizontal="center" vertical="center"/>
    </xf>
    <xf numFmtId="0" fontId="12" fillId="0" borderId="11" xfId="0" applyFont="1" applyBorder="1" applyProtection="1"/>
    <xf numFmtId="0" fontId="0" fillId="0" borderId="25" xfId="0" applyBorder="1" applyAlignment="1" applyProtection="1">
      <alignment horizontal="center" vertical="center"/>
    </xf>
    <xf numFmtId="0" fontId="0" fillId="0" borderId="6" xfId="0" applyBorder="1" applyAlignment="1" applyProtection="1">
      <alignment horizontal="center" vertical="center"/>
    </xf>
    <xf numFmtId="42" fontId="0" fillId="0" borderId="6" xfId="0" applyNumberFormat="1" applyBorder="1" applyProtection="1"/>
    <xf numFmtId="0" fontId="21" fillId="8" borderId="12" xfId="0" applyFont="1" applyFill="1" applyBorder="1" applyAlignment="1" applyProtection="1">
      <alignment horizontal="center" vertical="center" wrapText="1"/>
    </xf>
    <xf numFmtId="0" fontId="21" fillId="8" borderId="20" xfId="0" applyFont="1" applyFill="1" applyBorder="1" applyAlignment="1" applyProtection="1">
      <alignment horizontal="center" vertical="center" wrapText="1"/>
    </xf>
    <xf numFmtId="0" fontId="15" fillId="0" borderId="11" xfId="0" applyFont="1" applyBorder="1" applyProtection="1"/>
    <xf numFmtId="0" fontId="16" fillId="8" borderId="13" xfId="0" applyFont="1" applyFill="1" applyBorder="1" applyAlignment="1" applyProtection="1">
      <alignment horizontal="center" vertical="center" wrapText="1"/>
    </xf>
    <xf numFmtId="0" fontId="16" fillId="8" borderId="6" xfId="0" applyFont="1" applyFill="1" applyBorder="1" applyAlignment="1" applyProtection="1">
      <alignment horizontal="center" vertical="center" wrapText="1"/>
    </xf>
    <xf numFmtId="0" fontId="11" fillId="9" borderId="13" xfId="0" applyFont="1" applyFill="1" applyBorder="1" applyProtection="1"/>
    <xf numFmtId="42" fontId="3" fillId="0" borderId="6" xfId="0" applyNumberFormat="1" applyFont="1" applyBorder="1" applyProtection="1"/>
    <xf numFmtId="0" fontId="16" fillId="8" borderId="30" xfId="0" applyFont="1" applyFill="1" applyBorder="1" applyAlignment="1" applyProtection="1">
      <alignment horizontal="center" vertical="top" wrapText="1"/>
    </xf>
    <xf numFmtId="0" fontId="16" fillId="8" borderId="29" xfId="0" applyFont="1" applyFill="1" applyBorder="1" applyAlignment="1" applyProtection="1">
      <alignment horizontal="center" vertical="top" wrapText="1"/>
    </xf>
    <xf numFmtId="0" fontId="16" fillId="8" borderId="11" xfId="0" applyFont="1" applyFill="1" applyBorder="1" applyAlignment="1" applyProtection="1">
      <alignment horizontal="center" vertical="top" wrapText="1"/>
    </xf>
    <xf numFmtId="0" fontId="16" fillId="8" borderId="25" xfId="0" applyFont="1" applyFill="1" applyBorder="1" applyAlignment="1" applyProtection="1">
      <alignment horizontal="center" vertical="top" wrapText="1"/>
    </xf>
    <xf numFmtId="0" fontId="16" fillId="8" borderId="31" xfId="0" applyFont="1" applyFill="1" applyBorder="1" applyAlignment="1" applyProtection="1">
      <alignment horizontal="center" vertical="top" wrapText="1"/>
    </xf>
    <xf numFmtId="0" fontId="16" fillId="8" borderId="32" xfId="0" applyFont="1" applyFill="1" applyBorder="1" applyAlignment="1" applyProtection="1">
      <alignment horizontal="center" vertical="top" wrapText="1"/>
    </xf>
    <xf numFmtId="0" fontId="17" fillId="0" borderId="11" xfId="0" applyFont="1" applyBorder="1" applyAlignment="1" applyProtection="1">
      <alignment vertical="top"/>
    </xf>
    <xf numFmtId="0" fontId="17" fillId="0" borderId="25" xfId="0" applyFont="1" applyBorder="1" applyAlignment="1" applyProtection="1">
      <alignment vertical="top"/>
    </xf>
    <xf numFmtId="0" fontId="18" fillId="0" borderId="11" xfId="0" applyFont="1" applyBorder="1" applyAlignment="1" applyProtection="1">
      <alignment horizontal="center" vertical="center" wrapText="1"/>
    </xf>
    <xf numFmtId="0" fontId="18" fillId="0" borderId="25"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8" fillId="0" borderId="20" xfId="0" applyFont="1" applyBorder="1" applyAlignment="1" applyProtection="1">
      <alignment horizontal="center" vertical="center" wrapText="1"/>
    </xf>
    <xf numFmtId="10" fontId="0" fillId="0" borderId="6" xfId="0" applyNumberFormat="1" applyBorder="1" applyAlignment="1" applyProtection="1">
      <alignment vertical="center"/>
    </xf>
  </cellXfs>
  <cellStyles count="6">
    <cellStyle name="Moneda" xfId="5" builtinId="4"/>
    <cellStyle name="Moneda [0]" xfId="1" builtinId="7"/>
    <cellStyle name="Moneda [0] 2" xfId="3" xr:uid="{1D99AC7F-AB32-4720-A0A0-D90497D2E547}"/>
    <cellStyle name="Normal" xfId="0" builtinId="0"/>
    <cellStyle name="Porcentaje" xfId="2" builtinId="5"/>
    <cellStyle name="Porcentaje 2" xfId="4" xr:uid="{A61C88A9-9827-421A-BA13-98CC56960454}"/>
  </cellStyles>
  <dxfs count="0"/>
  <tableStyles count="0" defaultTableStyle="TableStyleMedium2" defaultPivotStyle="PivotStyleLight16"/>
  <colors>
    <mruColors>
      <color rgb="FFFFB3B3"/>
      <color rgb="FFFBC5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3.xml.rels><?xml version="1.0" encoding="UTF-8" standalone="no"?>
<Relationships xmlns="http://schemas.openxmlformats.org/package/2006/relationships">
<Relationship Id="rId1" Target="../drawings/vmlDrawing2.vml" Type="http://schemas.openxmlformats.org/officeDocument/2006/relationships/vmlDrawing"/>
<Relationship Id="rId2" Target="../comments2.xml" Type="http://schemas.openxmlformats.org/officeDocument/2006/relationships/comment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0732D-F407-447A-885E-E17D935C34D3}">
  <dimension ref="A1:AQ516"/>
  <sheetViews>
    <sheetView showGridLines="0" tabSelected="1" zoomScale="70" zoomScaleNormal="70" workbookViewId="0">
      <pane xSplit="5" ySplit="39" topLeftCell="F513" activePane="bottomRight" state="frozen"/>
      <selection pane="topRight" activeCell="F1" sqref="F1"/>
      <selection pane="bottomLeft" activeCell="A40" sqref="A40"/>
      <selection pane="bottomRight" activeCell="E8" sqref="E8"/>
    </sheetView>
  </sheetViews>
  <sheetFormatPr baseColWidth="10" defaultColWidth="11.44140625" defaultRowHeight="14.4" x14ac:dyDescent="0.3"/>
  <cols>
    <col min="1" max="1" width="43.33203125" customWidth="1"/>
    <col min="2" max="2" width="28.6640625" customWidth="1"/>
    <col min="3" max="3" width="1.88671875" customWidth="1"/>
    <col min="4" max="4" width="61.44140625" customWidth="1"/>
    <col min="5" max="5" width="41.5546875" customWidth="1"/>
    <col min="6" max="6" width="12.88671875" bestFit="1" customWidth="1"/>
  </cols>
  <sheetData>
    <row r="1" spans="1:43" ht="41.4" customHeight="1" x14ac:dyDescent="0.3">
      <c r="A1" s="127" t="s">
        <v>82</v>
      </c>
      <c r="B1" s="128"/>
      <c r="C1" s="128"/>
      <c r="D1" s="128"/>
      <c r="E1" s="129"/>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row>
    <row r="2" spans="1:43" ht="4.5" customHeight="1" thickBot="1" x14ac:dyDescent="0.35">
      <c r="A2" s="130"/>
      <c r="B2" s="131"/>
      <c r="C2" s="131"/>
      <c r="D2" s="131"/>
      <c r="E2" s="132"/>
    </row>
    <row r="3" spans="1:43" ht="24" thickBot="1" x14ac:dyDescent="0.35">
      <c r="A3" s="133" t="s">
        <v>64</v>
      </c>
      <c r="B3" s="134"/>
      <c r="C3" s="131"/>
      <c r="D3" s="135" t="s">
        <v>66</v>
      </c>
      <c r="E3" s="136"/>
    </row>
    <row r="4" spans="1:43" ht="16.2" thickBot="1" x14ac:dyDescent="0.35">
      <c r="A4" s="137" t="s">
        <v>47</v>
      </c>
      <c r="B4" s="138"/>
      <c r="C4" s="131"/>
      <c r="D4" s="137" t="s">
        <v>47</v>
      </c>
      <c r="E4" s="138"/>
    </row>
    <row r="5" spans="1:43" ht="6" customHeight="1" x14ac:dyDescent="0.3">
      <c r="A5" s="130"/>
      <c r="B5" s="132"/>
      <c r="C5" s="131"/>
      <c r="D5" s="130"/>
      <c r="E5" s="132"/>
    </row>
    <row r="6" spans="1:43" x14ac:dyDescent="0.3">
      <c r="A6" s="139" t="s">
        <v>48</v>
      </c>
      <c r="B6" s="140" t="s">
        <v>56</v>
      </c>
      <c r="C6" s="131"/>
      <c r="D6" s="139" t="s">
        <v>77</v>
      </c>
      <c r="E6" s="71">
        <v>1300000</v>
      </c>
    </row>
    <row r="7" spans="1:43" ht="6" customHeight="1" x14ac:dyDescent="0.3">
      <c r="A7" s="130"/>
      <c r="B7" s="141"/>
      <c r="C7" s="131"/>
      <c r="D7" s="130"/>
      <c r="E7" s="132"/>
    </row>
    <row r="8" spans="1:43" x14ac:dyDescent="0.3">
      <c r="A8" s="70" t="s">
        <v>49</v>
      </c>
      <c r="B8" s="65">
        <v>6500000</v>
      </c>
      <c r="C8" s="63"/>
      <c r="D8" s="64" t="s">
        <v>69</v>
      </c>
      <c r="E8" s="66">
        <v>7000000</v>
      </c>
    </row>
    <row r="9" spans="1:43" ht="6" customHeight="1" x14ac:dyDescent="0.3">
      <c r="A9" s="130"/>
      <c r="B9" s="141"/>
      <c r="C9" s="63"/>
      <c r="D9" s="150"/>
      <c r="E9" s="78"/>
    </row>
    <row r="10" spans="1:43" x14ac:dyDescent="0.3">
      <c r="A10" s="139" t="s">
        <v>50</v>
      </c>
      <c r="B10" s="167">
        <v>9.2799999999999994E-2</v>
      </c>
      <c r="C10" s="67"/>
      <c r="D10" s="151" t="s">
        <v>83</v>
      </c>
      <c r="E10" s="152"/>
      <c r="F10" s="25"/>
    </row>
    <row r="11" spans="1:43" ht="4.5" customHeight="1" x14ac:dyDescent="0.3">
      <c r="A11" s="130"/>
      <c r="B11" s="141"/>
      <c r="C11" s="63"/>
      <c r="D11" s="151"/>
      <c r="E11" s="152"/>
    </row>
    <row r="12" spans="1:43" x14ac:dyDescent="0.3">
      <c r="A12" s="70" t="s">
        <v>51</v>
      </c>
      <c r="B12" s="68">
        <v>10</v>
      </c>
      <c r="C12" s="63"/>
      <c r="D12" s="151"/>
      <c r="E12" s="152"/>
    </row>
    <row r="13" spans="1:43" ht="5.25" customHeight="1" x14ac:dyDescent="0.3">
      <c r="A13" s="130"/>
      <c r="B13" s="141"/>
      <c r="C13" s="63"/>
      <c r="D13" s="130"/>
      <c r="E13" s="132"/>
    </row>
    <row r="14" spans="1:43" x14ac:dyDescent="0.3">
      <c r="A14" s="139" t="s">
        <v>57</v>
      </c>
      <c r="B14" s="77">
        <f>(((1+((1+B10)*(1+2%)-1))^(1/12))-1)*12</f>
        <v>0.10903824565054254</v>
      </c>
      <c r="C14" s="63"/>
      <c r="D14" s="130"/>
      <c r="E14" s="132"/>
    </row>
    <row r="15" spans="1:43" ht="15" thickBot="1" x14ac:dyDescent="0.35">
      <c r="A15" s="130"/>
      <c r="B15" s="132"/>
      <c r="C15" s="63"/>
      <c r="D15" s="130"/>
      <c r="E15" s="132"/>
    </row>
    <row r="16" spans="1:43" ht="16.2" thickBot="1" x14ac:dyDescent="0.35">
      <c r="A16" s="137" t="s">
        <v>52</v>
      </c>
      <c r="B16" s="138"/>
      <c r="C16" s="63"/>
      <c r="D16" s="137" t="s">
        <v>75</v>
      </c>
      <c r="E16" s="138"/>
    </row>
    <row r="17" spans="1:6" ht="6.75" customHeight="1" x14ac:dyDescent="0.3">
      <c r="A17" s="130"/>
      <c r="B17" s="132"/>
      <c r="C17" s="63"/>
      <c r="D17" s="130"/>
      <c r="E17" s="132"/>
    </row>
    <row r="18" spans="1:6" ht="18" x14ac:dyDescent="0.35">
      <c r="A18" s="142" t="s">
        <v>53</v>
      </c>
      <c r="B18" s="143">
        <v>0</v>
      </c>
      <c r="C18" s="63"/>
      <c r="D18" s="153" t="s">
        <v>68</v>
      </c>
      <c r="E18" s="154">
        <f>'Simulador cuota PCI '!J25</f>
        <v>919000</v>
      </c>
    </row>
    <row r="19" spans="1:6" ht="5.25" customHeight="1" x14ac:dyDescent="0.3">
      <c r="A19" s="144"/>
      <c r="B19" s="145"/>
      <c r="C19" s="63"/>
      <c r="D19" s="130"/>
      <c r="E19" s="132"/>
    </row>
    <row r="20" spans="1:6" ht="18" x14ac:dyDescent="0.35">
      <c r="A20" s="142" t="s">
        <v>58</v>
      </c>
      <c r="B20" s="146">
        <v>12</v>
      </c>
      <c r="C20" s="63"/>
      <c r="D20" s="153" t="s">
        <v>74</v>
      </c>
      <c r="E20" s="76">
        <f>'Simulador cuota PCI '!J26</f>
        <v>0.13128571428571428</v>
      </c>
    </row>
    <row r="21" spans="1:6" ht="6" customHeight="1" x14ac:dyDescent="0.3">
      <c r="A21" s="144"/>
      <c r="B21" s="145"/>
      <c r="C21" s="63"/>
      <c r="D21" s="130"/>
      <c r="E21" s="132"/>
    </row>
    <row r="22" spans="1:6" ht="21.75" customHeight="1" x14ac:dyDescent="0.3">
      <c r="A22" s="142" t="s">
        <v>46</v>
      </c>
      <c r="B22" s="146" t="s">
        <v>59</v>
      </c>
      <c r="C22" s="63"/>
      <c r="D22" s="155" t="s">
        <v>80</v>
      </c>
      <c r="E22" s="156"/>
    </row>
    <row r="23" spans="1:6" ht="7.5" customHeight="1" x14ac:dyDescent="0.3">
      <c r="A23" s="144"/>
      <c r="B23" s="145"/>
      <c r="C23" s="63"/>
      <c r="D23" s="157"/>
      <c r="E23" s="158"/>
    </row>
    <row r="24" spans="1:6" x14ac:dyDescent="0.3">
      <c r="A24" s="142" t="s">
        <v>65</v>
      </c>
      <c r="B24" s="72">
        <f>(1+B10)*(1+9%)-1</f>
        <v>0.19115199999999999</v>
      </c>
      <c r="C24" s="63"/>
      <c r="D24" s="159"/>
      <c r="E24" s="160"/>
    </row>
    <row r="25" spans="1:6" ht="6" customHeight="1" x14ac:dyDescent="0.3">
      <c r="A25" s="144"/>
      <c r="B25" s="145"/>
      <c r="C25" s="63"/>
      <c r="D25" s="161"/>
      <c r="E25" s="162"/>
    </row>
    <row r="26" spans="1:6" ht="20.25" customHeight="1" x14ac:dyDescent="0.3">
      <c r="A26" s="142" t="s">
        <v>73</v>
      </c>
      <c r="B26" s="72">
        <f>NOMINAL(B24,12)</f>
        <v>0.1762020117633778</v>
      </c>
      <c r="C26" s="63"/>
      <c r="D26" s="163" t="s">
        <v>81</v>
      </c>
      <c r="E26" s="164"/>
    </row>
    <row r="27" spans="1:6" ht="5.25" customHeight="1" x14ac:dyDescent="0.3">
      <c r="A27" s="144"/>
      <c r="B27" s="145"/>
      <c r="C27" s="63"/>
      <c r="D27" s="163"/>
      <c r="E27" s="164"/>
    </row>
    <row r="28" spans="1:6" ht="14.25" customHeight="1" x14ac:dyDescent="0.3">
      <c r="A28" s="142" t="s">
        <v>60</v>
      </c>
      <c r="B28" s="73">
        <f>B26/12</f>
        <v>1.4683500980281483E-2</v>
      </c>
      <c r="C28" s="63"/>
      <c r="D28" s="163"/>
      <c r="E28" s="164"/>
    </row>
    <row r="29" spans="1:6" ht="5.25" customHeight="1" x14ac:dyDescent="0.3">
      <c r="A29" s="144"/>
      <c r="B29" s="145"/>
      <c r="C29" s="63"/>
      <c r="D29" s="163"/>
      <c r="E29" s="164"/>
    </row>
    <row r="30" spans="1:6" ht="15.75" customHeight="1" x14ac:dyDescent="0.3">
      <c r="A30" s="142" t="s">
        <v>54</v>
      </c>
      <c r="B30" s="146" t="s">
        <v>72</v>
      </c>
      <c r="C30" s="63"/>
      <c r="D30" s="163"/>
      <c r="E30" s="164"/>
    </row>
    <row r="31" spans="1:6" ht="6.75" customHeight="1" x14ac:dyDescent="0.3">
      <c r="A31" s="144"/>
      <c r="B31" s="132"/>
      <c r="C31" s="63"/>
      <c r="D31" s="163"/>
      <c r="E31" s="164"/>
    </row>
    <row r="32" spans="1:6" ht="15" customHeight="1" x14ac:dyDescent="0.3">
      <c r="A32" s="142" t="s">
        <v>61</v>
      </c>
      <c r="B32" s="146">
        <f>B12+(B20/6)</f>
        <v>12</v>
      </c>
      <c r="C32" s="63"/>
      <c r="D32" s="163"/>
      <c r="E32" s="164"/>
      <c r="F32" s="83"/>
    </row>
    <row r="33" spans="1:6" ht="7.5" customHeight="1" x14ac:dyDescent="0.3">
      <c r="A33" s="144"/>
      <c r="B33" s="132"/>
      <c r="C33" s="63"/>
      <c r="D33" s="163"/>
      <c r="E33" s="164"/>
      <c r="F33" s="83"/>
    </row>
    <row r="34" spans="1:6" x14ac:dyDescent="0.3">
      <c r="A34" s="142" t="s">
        <v>55</v>
      </c>
      <c r="B34" s="147">
        <f>'Simulador crédito PEstudios'!$C$76</f>
        <v>80806689.162856326</v>
      </c>
      <c r="C34" s="63"/>
      <c r="D34" s="163"/>
      <c r="E34" s="164"/>
    </row>
    <row r="35" spans="1:6" ht="6" customHeight="1" x14ac:dyDescent="0.3">
      <c r="A35" s="144"/>
      <c r="B35" s="132"/>
      <c r="C35" s="63"/>
      <c r="D35" s="163"/>
      <c r="E35" s="164"/>
    </row>
    <row r="36" spans="1:6" x14ac:dyDescent="0.3">
      <c r="A36" s="142" t="s">
        <v>67</v>
      </c>
      <c r="B36" s="74">
        <f>'Simulador crédito PEstudios'!$K$81</f>
        <v>50460086.896446466</v>
      </c>
      <c r="C36" s="63"/>
      <c r="D36" s="163"/>
      <c r="E36" s="164"/>
    </row>
    <row r="37" spans="1:6" ht="4.5" customHeight="1" x14ac:dyDescent="0.3">
      <c r="A37" s="144"/>
      <c r="B37" s="132"/>
      <c r="C37" s="63"/>
      <c r="D37" s="163"/>
      <c r="E37" s="164"/>
    </row>
    <row r="38" spans="1:6" x14ac:dyDescent="0.3">
      <c r="A38" s="142" t="s">
        <v>78</v>
      </c>
      <c r="B38" s="75">
        <f>'Simulador crédito PEstudios'!$I$81</f>
        <v>131266776.05930279</v>
      </c>
      <c r="C38" s="63"/>
      <c r="D38" s="163"/>
      <c r="E38" s="164"/>
    </row>
    <row r="39" spans="1:6" ht="61.5" customHeight="1" thickBot="1" x14ac:dyDescent="0.35">
      <c r="A39" s="148" t="s">
        <v>79</v>
      </c>
      <c r="B39" s="149"/>
      <c r="C39" s="69"/>
      <c r="D39" s="165"/>
      <c r="E39" s="166"/>
    </row>
    <row r="40" spans="1:6" ht="15" customHeight="1" x14ac:dyDescent="0.3">
      <c r="A40" s="79"/>
      <c r="B40" s="79"/>
    </row>
    <row r="41" spans="1:6" x14ac:dyDescent="0.3">
      <c r="A41" s="79"/>
      <c r="B41" s="79"/>
    </row>
    <row r="42" spans="1:6" ht="4.95" customHeight="1" x14ac:dyDescent="0.3"/>
    <row r="501" spans="1:1" ht="18" x14ac:dyDescent="0.3">
      <c r="A501" s="80">
        <v>0</v>
      </c>
    </row>
    <row r="502" spans="1:1" ht="18" x14ac:dyDescent="0.3">
      <c r="A502" s="81">
        <v>1000000</v>
      </c>
    </row>
    <row r="503" spans="1:1" ht="18" x14ac:dyDescent="0.3">
      <c r="A503" s="81">
        <v>2000000</v>
      </c>
    </row>
    <row r="504" spans="1:1" ht="18" x14ac:dyDescent="0.3">
      <c r="A504" s="81">
        <v>3000000</v>
      </c>
    </row>
    <row r="505" spans="1:1" ht="18" x14ac:dyDescent="0.3">
      <c r="A505" s="81">
        <v>4000000</v>
      </c>
    </row>
    <row r="506" spans="1:1" ht="18" x14ac:dyDescent="0.3">
      <c r="A506" s="81">
        <v>5000000</v>
      </c>
    </row>
    <row r="507" spans="1:1" ht="18" x14ac:dyDescent="0.3">
      <c r="A507" s="81">
        <v>6000000</v>
      </c>
    </row>
    <row r="508" spans="1:1" ht="18" x14ac:dyDescent="0.3">
      <c r="A508" s="81">
        <v>7000000</v>
      </c>
    </row>
    <row r="509" spans="1:1" ht="18" x14ac:dyDescent="0.3">
      <c r="A509" s="81">
        <v>8000000</v>
      </c>
    </row>
    <row r="510" spans="1:1" ht="18" x14ac:dyDescent="0.3">
      <c r="A510" s="81">
        <v>9000000</v>
      </c>
    </row>
    <row r="511" spans="1:1" ht="18" x14ac:dyDescent="0.3">
      <c r="A511" s="81">
        <v>10000000</v>
      </c>
    </row>
    <row r="512" spans="1:1" ht="18" x14ac:dyDescent="0.3">
      <c r="A512" s="81">
        <v>11000000</v>
      </c>
    </row>
    <row r="513" spans="1:1" ht="18" x14ac:dyDescent="0.3">
      <c r="A513" s="81">
        <v>12000000</v>
      </c>
    </row>
    <row r="514" spans="1:1" ht="18" x14ac:dyDescent="0.3">
      <c r="A514" s="81">
        <v>13000000</v>
      </c>
    </row>
    <row r="515" spans="1:1" ht="18" x14ac:dyDescent="0.3">
      <c r="A515" s="81">
        <v>14000000</v>
      </c>
    </row>
    <row r="516" spans="1:1" ht="18" x14ac:dyDescent="0.3">
      <c r="A516" s="81">
        <v>15000000</v>
      </c>
    </row>
  </sheetData>
  <sheetProtection algorithmName="SHA-512" hashValue="TnyjAz0M2Y9wR8o5TL8NC+mmDGEI2mXLV0zYm26273jvwlf3rk5jiuudxfr1/HiNh7lVWX32MJg55ibeIQYpNg==" saltValue="9KcsK5AqtH3HN+8GV2P5Fw==" spinCount="100000" sheet="1" selectLockedCells="1"/>
  <mergeCells count="11">
    <mergeCell ref="A39:B39"/>
    <mergeCell ref="D10:E12"/>
    <mergeCell ref="D16:E16"/>
    <mergeCell ref="A1:E1"/>
    <mergeCell ref="D22:E24"/>
    <mergeCell ref="A4:B4"/>
    <mergeCell ref="A16:B16"/>
    <mergeCell ref="D4:E4"/>
    <mergeCell ref="A3:B3"/>
    <mergeCell ref="D3:E3"/>
    <mergeCell ref="D26:E39"/>
  </mergeCells>
  <dataValidations count="1">
    <dataValidation type="list" allowBlank="1" showInputMessage="1" showErrorMessage="1" sqref="E8" xr:uid="{E8980DD0-1AA1-40E9-B4DD-D1D83C6DD6E7}">
      <formula1>$A$501:$A$516</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58C2D-FDAB-4739-8F1B-590BB591BD0C}">
  <dimension ref="A1:L92"/>
  <sheetViews>
    <sheetView zoomScale="115" zoomScaleNormal="115" workbookViewId="0">
      <pane ySplit="3" topLeftCell="A4" activePane="bottomLeft" state="frozen"/>
      <selection pane="bottomLeft" sqref="A1:XFD1048576"/>
    </sheetView>
  </sheetViews>
  <sheetFormatPr baseColWidth="10" defaultColWidth="9.109375" defaultRowHeight="14.4" x14ac:dyDescent="0.3"/>
  <cols>
    <col min="1" max="1" width="28" customWidth="1"/>
    <col min="2" max="2" width="17.44140625" style="26" bestFit="1" customWidth="1"/>
    <col min="3" max="3" width="35.88671875" bestFit="1" customWidth="1"/>
    <col min="4" max="4" width="18.5546875" customWidth="1"/>
    <col min="5" max="6" width="22.109375" bestFit="1" customWidth="1"/>
    <col min="7" max="7" width="25.5546875" bestFit="1" customWidth="1"/>
    <col min="8" max="8" width="23.5546875" bestFit="1" customWidth="1"/>
    <col min="9" max="9" width="29.109375" customWidth="1"/>
    <col min="10" max="11" width="21.33203125" bestFit="1" customWidth="1"/>
  </cols>
  <sheetData>
    <row r="1" spans="1:12" ht="24" thickBot="1" x14ac:dyDescent="0.35">
      <c r="A1" s="84" t="s">
        <v>62</v>
      </c>
      <c r="B1" s="93"/>
      <c r="C1" s="93"/>
      <c r="D1" s="93"/>
      <c r="E1" s="93"/>
      <c r="F1" s="93"/>
      <c r="G1" s="93"/>
      <c r="H1" s="93"/>
      <c r="I1" s="85"/>
      <c r="J1" s="29"/>
      <c r="K1" s="29"/>
      <c r="L1" s="29"/>
    </row>
    <row r="2" spans="1:12" s="1" customFormat="1" ht="18.75" customHeight="1" x14ac:dyDescent="0.35">
      <c r="A2" s="97" t="s">
        <v>28</v>
      </c>
      <c r="B2" s="99" t="s">
        <v>29</v>
      </c>
      <c r="C2" s="99" t="s">
        <v>30</v>
      </c>
      <c r="D2" s="102" t="s">
        <v>45</v>
      </c>
      <c r="E2" s="102"/>
      <c r="F2" s="102"/>
      <c r="G2" s="102"/>
      <c r="H2" s="102"/>
      <c r="I2" s="103"/>
      <c r="J2" s="29"/>
      <c r="K2" s="29"/>
      <c r="L2" s="29"/>
    </row>
    <row r="3" spans="1:12" s="27" customFormat="1" ht="29.4" thickBot="1" x14ac:dyDescent="0.35">
      <c r="A3" s="98"/>
      <c r="B3" s="100"/>
      <c r="C3" s="100"/>
      <c r="D3" s="56" t="s">
        <v>32</v>
      </c>
      <c r="E3" s="56" t="s">
        <v>33</v>
      </c>
      <c r="F3" s="56" t="s">
        <v>34</v>
      </c>
      <c r="G3" s="56" t="s">
        <v>35</v>
      </c>
      <c r="H3" s="56" t="s">
        <v>31</v>
      </c>
      <c r="I3" s="57" t="s">
        <v>36</v>
      </c>
      <c r="J3" s="29"/>
      <c r="K3" s="29"/>
      <c r="L3" s="29"/>
    </row>
    <row r="4" spans="1:12" ht="14.4" customHeight="1" x14ac:dyDescent="0.3">
      <c r="A4" s="94">
        <v>1</v>
      </c>
      <c r="B4" s="54">
        <v>1</v>
      </c>
      <c r="C4" s="95">
        <f>'Resumen usuario'!B8</f>
        <v>6500000</v>
      </c>
      <c r="D4" s="55">
        <f>$C$4</f>
        <v>6500000</v>
      </c>
      <c r="E4" s="55">
        <f>+D4*'Resumen usuario'!$B$28</f>
        <v>95442.756371829644</v>
      </c>
      <c r="F4" s="96">
        <f>SUM(E4:E9)</f>
        <v>572656.53823097784</v>
      </c>
      <c r="G4" s="96">
        <f>F4</f>
        <v>572656.53823097784</v>
      </c>
      <c r="H4" s="96">
        <f>D9</f>
        <v>6500000</v>
      </c>
      <c r="I4" s="101">
        <f>H4+G4</f>
        <v>7072656.538230978</v>
      </c>
      <c r="J4" s="29"/>
      <c r="K4" s="29"/>
      <c r="L4" s="29"/>
    </row>
    <row r="5" spans="1:12" ht="14.4" customHeight="1" x14ac:dyDescent="0.3">
      <c r="A5" s="91"/>
      <c r="B5" s="30">
        <f>+B4+1</f>
        <v>2</v>
      </c>
      <c r="C5" s="92"/>
      <c r="D5" s="31">
        <f t="shared" ref="D5:D9" si="0">$C$4</f>
        <v>6500000</v>
      </c>
      <c r="E5" s="31">
        <f>+D5*'Resumen usuario'!$B$28</f>
        <v>95442.756371829644</v>
      </c>
      <c r="F5" s="86"/>
      <c r="G5" s="86"/>
      <c r="H5" s="86"/>
      <c r="I5" s="88"/>
      <c r="J5" s="29"/>
      <c r="K5" s="29"/>
      <c r="L5" s="29"/>
    </row>
    <row r="6" spans="1:12" ht="14.4" customHeight="1" x14ac:dyDescent="0.3">
      <c r="A6" s="91"/>
      <c r="B6" s="30">
        <f t="shared" ref="B6:B9" si="1">+B5+1</f>
        <v>3</v>
      </c>
      <c r="C6" s="92"/>
      <c r="D6" s="31">
        <f t="shared" si="0"/>
        <v>6500000</v>
      </c>
      <c r="E6" s="31">
        <f>+D6*'Resumen usuario'!$B$28</f>
        <v>95442.756371829644</v>
      </c>
      <c r="F6" s="86"/>
      <c r="G6" s="86"/>
      <c r="H6" s="86"/>
      <c r="I6" s="88"/>
      <c r="J6" s="29"/>
      <c r="K6" s="29"/>
      <c r="L6" s="29"/>
    </row>
    <row r="7" spans="1:12" ht="14.4" customHeight="1" x14ac:dyDescent="0.3">
      <c r="A7" s="91"/>
      <c r="B7" s="30">
        <f t="shared" si="1"/>
        <v>4</v>
      </c>
      <c r="C7" s="92"/>
      <c r="D7" s="31">
        <f t="shared" si="0"/>
        <v>6500000</v>
      </c>
      <c r="E7" s="31">
        <f>+D7*'Resumen usuario'!$B$28</f>
        <v>95442.756371829644</v>
      </c>
      <c r="F7" s="86"/>
      <c r="G7" s="86"/>
      <c r="H7" s="86"/>
      <c r="I7" s="88"/>
      <c r="J7" s="29"/>
      <c r="K7" s="29"/>
      <c r="L7" s="29"/>
    </row>
    <row r="8" spans="1:12" ht="14.4" customHeight="1" x14ac:dyDescent="0.3">
      <c r="A8" s="91"/>
      <c r="B8" s="30">
        <f t="shared" si="1"/>
        <v>5</v>
      </c>
      <c r="C8" s="92"/>
      <c r="D8" s="31">
        <f t="shared" si="0"/>
        <v>6500000</v>
      </c>
      <c r="E8" s="31">
        <f>+D8*'Resumen usuario'!$B$28</f>
        <v>95442.756371829644</v>
      </c>
      <c r="F8" s="86"/>
      <c r="G8" s="86"/>
      <c r="H8" s="86"/>
      <c r="I8" s="88"/>
      <c r="J8" s="29"/>
      <c r="K8" s="29"/>
      <c r="L8" s="29"/>
    </row>
    <row r="9" spans="1:12" ht="15" customHeight="1" x14ac:dyDescent="0.3">
      <c r="A9" s="91"/>
      <c r="B9" s="30">
        <f t="shared" si="1"/>
        <v>6</v>
      </c>
      <c r="C9" s="92"/>
      <c r="D9" s="31">
        <f t="shared" si="0"/>
        <v>6500000</v>
      </c>
      <c r="E9" s="31">
        <f>+D9*'Resumen usuario'!$B$28</f>
        <v>95442.756371829644</v>
      </c>
      <c r="F9" s="86"/>
      <c r="G9" s="86"/>
      <c r="H9" s="86"/>
      <c r="I9" s="88"/>
      <c r="J9" s="29"/>
      <c r="K9" s="29"/>
      <c r="L9" s="29"/>
    </row>
    <row r="10" spans="1:12" ht="14.4" customHeight="1" x14ac:dyDescent="0.3">
      <c r="A10" s="91">
        <f>IF(AND(A4&gt;0,'Resumen usuario'!$B$12&gt;A4),A4+1,0)</f>
        <v>2</v>
      </c>
      <c r="B10" s="30">
        <f>IF($A$10&gt;1,+B9+1,0)</f>
        <v>7</v>
      </c>
      <c r="C10" s="92">
        <f>IF(A10&gt;0,C4,)</f>
        <v>6500000</v>
      </c>
      <c r="D10" s="31">
        <f>IF($A$10&gt;0,$D$9+$C$10,)</f>
        <v>13000000</v>
      </c>
      <c r="E10" s="31">
        <f>+D10*'Resumen usuario'!$B$28</f>
        <v>190885.51274365929</v>
      </c>
      <c r="F10" s="86">
        <f>SUM(E10:E15)</f>
        <v>1145313.0764619557</v>
      </c>
      <c r="G10" s="86">
        <f>IF($A$10&gt;0,G4+F10,)</f>
        <v>1717969.6146929334</v>
      </c>
      <c r="H10" s="86">
        <f>D15</f>
        <v>13000000</v>
      </c>
      <c r="I10" s="88">
        <f>H10+G10</f>
        <v>14717969.614692934</v>
      </c>
      <c r="J10" s="29"/>
      <c r="K10" s="29"/>
      <c r="L10" s="29"/>
    </row>
    <row r="11" spans="1:12" ht="14.4" customHeight="1" x14ac:dyDescent="0.3">
      <c r="A11" s="91"/>
      <c r="B11" s="30">
        <f t="shared" ref="B11:B15" si="2">IF($A$10&gt;1,+B10+1,0)</f>
        <v>8</v>
      </c>
      <c r="C11" s="92"/>
      <c r="D11" s="31">
        <f t="shared" ref="D11:D15" si="3">IF($A$10&gt;0,$D$9+$C$10,)</f>
        <v>13000000</v>
      </c>
      <c r="E11" s="31">
        <f>+D11*'Resumen usuario'!$B$28</f>
        <v>190885.51274365929</v>
      </c>
      <c r="F11" s="86"/>
      <c r="G11" s="86"/>
      <c r="H11" s="86"/>
      <c r="I11" s="88"/>
      <c r="J11" s="29"/>
      <c r="K11" s="29"/>
      <c r="L11" s="29"/>
    </row>
    <row r="12" spans="1:12" ht="14.4" customHeight="1" x14ac:dyDescent="0.3">
      <c r="A12" s="91"/>
      <c r="B12" s="30">
        <f t="shared" si="2"/>
        <v>9</v>
      </c>
      <c r="C12" s="92"/>
      <c r="D12" s="31">
        <f t="shared" si="3"/>
        <v>13000000</v>
      </c>
      <c r="E12" s="31">
        <f>+D12*'Resumen usuario'!$B$28</f>
        <v>190885.51274365929</v>
      </c>
      <c r="F12" s="86"/>
      <c r="G12" s="86"/>
      <c r="H12" s="86"/>
      <c r="I12" s="88"/>
      <c r="J12" s="29"/>
      <c r="K12" s="29"/>
      <c r="L12" s="29"/>
    </row>
    <row r="13" spans="1:12" ht="14.4" customHeight="1" x14ac:dyDescent="0.3">
      <c r="A13" s="91"/>
      <c r="B13" s="30">
        <f t="shared" si="2"/>
        <v>10</v>
      </c>
      <c r="C13" s="92"/>
      <c r="D13" s="31">
        <f t="shared" si="3"/>
        <v>13000000</v>
      </c>
      <c r="E13" s="31">
        <f>+D13*'Resumen usuario'!$B$28</f>
        <v>190885.51274365929</v>
      </c>
      <c r="F13" s="86"/>
      <c r="G13" s="86"/>
      <c r="H13" s="86"/>
      <c r="I13" s="88"/>
      <c r="J13" s="29"/>
      <c r="K13" s="29"/>
      <c r="L13" s="29"/>
    </row>
    <row r="14" spans="1:12" ht="14.4" customHeight="1" x14ac:dyDescent="0.3">
      <c r="A14" s="91"/>
      <c r="B14" s="30">
        <f t="shared" si="2"/>
        <v>11</v>
      </c>
      <c r="C14" s="92"/>
      <c r="D14" s="31">
        <f t="shared" si="3"/>
        <v>13000000</v>
      </c>
      <c r="E14" s="31">
        <f>+D14*'Resumen usuario'!$B$28</f>
        <v>190885.51274365929</v>
      </c>
      <c r="F14" s="86"/>
      <c r="G14" s="86"/>
      <c r="H14" s="86"/>
      <c r="I14" s="88"/>
      <c r="J14" s="29"/>
      <c r="K14" s="29"/>
      <c r="L14" s="29"/>
    </row>
    <row r="15" spans="1:12" ht="15" customHeight="1" x14ac:dyDescent="0.3">
      <c r="A15" s="91"/>
      <c r="B15" s="30">
        <f t="shared" si="2"/>
        <v>12</v>
      </c>
      <c r="C15" s="92"/>
      <c r="D15" s="31">
        <f t="shared" si="3"/>
        <v>13000000</v>
      </c>
      <c r="E15" s="31">
        <f>+D15*'Resumen usuario'!$B$28</f>
        <v>190885.51274365929</v>
      </c>
      <c r="F15" s="86"/>
      <c r="G15" s="86"/>
      <c r="H15" s="86"/>
      <c r="I15" s="88"/>
      <c r="J15" s="29"/>
      <c r="K15" s="29"/>
      <c r="L15" s="29"/>
    </row>
    <row r="16" spans="1:12" ht="14.4" customHeight="1" x14ac:dyDescent="0.3">
      <c r="A16" s="91">
        <f>IF(AND(A10&gt;0,'Resumen usuario'!$B$12&gt;A10),A10+1,0)</f>
        <v>3</v>
      </c>
      <c r="B16" s="30">
        <f>IF($A$16&gt;1,+B15+1,0)</f>
        <v>13</v>
      </c>
      <c r="C16" s="92">
        <f>IF(A16&gt;0,C10*(1+'Resumen usuario'!$B$14),)</f>
        <v>7208748.596728527</v>
      </c>
      <c r="D16" s="31">
        <f>IF($A$16&gt;0,$D$15+$C$16,)</f>
        <v>20208748.596728526</v>
      </c>
      <c r="E16" s="31">
        <f>+D16*'Resumen usuario'!$B$28</f>
        <v>296735.17983032536</v>
      </c>
      <c r="F16" s="86">
        <f t="shared" ref="F16" si="4">SUM(E16:E21)</f>
        <v>1780411.078981952</v>
      </c>
      <c r="G16" s="86">
        <f>IF($A$16&gt;0,G10+F16,)</f>
        <v>3498380.6936748857</v>
      </c>
      <c r="H16" s="86">
        <f>D21</f>
        <v>20208748.596728526</v>
      </c>
      <c r="I16" s="88">
        <f t="shared" ref="I16" si="5">H16+G16</f>
        <v>23707129.290403411</v>
      </c>
      <c r="J16" s="29"/>
      <c r="K16" s="29"/>
      <c r="L16" s="29"/>
    </row>
    <row r="17" spans="1:12" ht="14.4" customHeight="1" x14ac:dyDescent="0.3">
      <c r="A17" s="91"/>
      <c r="B17" s="30">
        <f t="shared" ref="B17:B21" si="6">IF($A$16&gt;1,+B16+1,0)</f>
        <v>14</v>
      </c>
      <c r="C17" s="92"/>
      <c r="D17" s="31">
        <f t="shared" ref="D17:D21" si="7">IF($A$16&gt;0,$D$15+$C$16,)</f>
        <v>20208748.596728526</v>
      </c>
      <c r="E17" s="31">
        <f>+D17*'Resumen usuario'!$B$28</f>
        <v>296735.17983032536</v>
      </c>
      <c r="F17" s="86"/>
      <c r="G17" s="86"/>
      <c r="H17" s="86"/>
      <c r="I17" s="88"/>
      <c r="J17" s="29"/>
      <c r="K17" s="29"/>
      <c r="L17" s="29"/>
    </row>
    <row r="18" spans="1:12" ht="14.4" customHeight="1" x14ac:dyDescent="0.3">
      <c r="A18" s="91"/>
      <c r="B18" s="30">
        <f t="shared" si="6"/>
        <v>15</v>
      </c>
      <c r="C18" s="92"/>
      <c r="D18" s="31">
        <f t="shared" si="7"/>
        <v>20208748.596728526</v>
      </c>
      <c r="E18" s="31">
        <f>+D18*'Resumen usuario'!$B$28</f>
        <v>296735.17983032536</v>
      </c>
      <c r="F18" s="86"/>
      <c r="G18" s="86"/>
      <c r="H18" s="86"/>
      <c r="I18" s="88"/>
      <c r="J18" s="29"/>
      <c r="K18" s="29"/>
      <c r="L18" s="29"/>
    </row>
    <row r="19" spans="1:12" ht="14.4" customHeight="1" x14ac:dyDescent="0.3">
      <c r="A19" s="91"/>
      <c r="B19" s="30">
        <f t="shared" si="6"/>
        <v>16</v>
      </c>
      <c r="C19" s="92"/>
      <c r="D19" s="31">
        <f t="shared" si="7"/>
        <v>20208748.596728526</v>
      </c>
      <c r="E19" s="31">
        <f>+D19*'Resumen usuario'!$B$28</f>
        <v>296735.17983032536</v>
      </c>
      <c r="F19" s="86"/>
      <c r="G19" s="86"/>
      <c r="H19" s="86"/>
      <c r="I19" s="88"/>
      <c r="J19" s="29"/>
      <c r="K19" s="29"/>
      <c r="L19" s="29"/>
    </row>
    <row r="20" spans="1:12" ht="14.4" customHeight="1" x14ac:dyDescent="0.3">
      <c r="A20" s="91"/>
      <c r="B20" s="30">
        <f t="shared" si="6"/>
        <v>17</v>
      </c>
      <c r="C20" s="92"/>
      <c r="D20" s="31">
        <f t="shared" si="7"/>
        <v>20208748.596728526</v>
      </c>
      <c r="E20" s="31">
        <f>+D20*'Resumen usuario'!$B$28</f>
        <v>296735.17983032536</v>
      </c>
      <c r="F20" s="86"/>
      <c r="G20" s="86"/>
      <c r="H20" s="86"/>
      <c r="I20" s="88"/>
      <c r="J20" s="29"/>
      <c r="K20" s="29"/>
      <c r="L20" s="29"/>
    </row>
    <row r="21" spans="1:12" ht="15" customHeight="1" x14ac:dyDescent="0.3">
      <c r="A21" s="91"/>
      <c r="B21" s="30">
        <f t="shared" si="6"/>
        <v>18</v>
      </c>
      <c r="C21" s="92"/>
      <c r="D21" s="31">
        <f t="shared" si="7"/>
        <v>20208748.596728526</v>
      </c>
      <c r="E21" s="31">
        <f>+D21*'Resumen usuario'!$B$28</f>
        <v>296735.17983032536</v>
      </c>
      <c r="F21" s="86"/>
      <c r="G21" s="86"/>
      <c r="H21" s="86"/>
      <c r="I21" s="88"/>
      <c r="J21" s="29"/>
      <c r="K21" s="29"/>
      <c r="L21" s="29"/>
    </row>
    <row r="22" spans="1:12" ht="14.4" customHeight="1" x14ac:dyDescent="0.3">
      <c r="A22" s="91">
        <f>IF(AND(A16&gt;0,'Resumen usuario'!$B$12&gt;A16),A16+1,0)</f>
        <v>4</v>
      </c>
      <c r="B22" s="30">
        <f>IF($A$22&gt;1,+B21+1,0)</f>
        <v>19</v>
      </c>
      <c r="C22" s="92">
        <f>IF(A22&gt;0,C16,)</f>
        <v>7208748.596728527</v>
      </c>
      <c r="D22" s="31">
        <f>IF($A$22&gt;0,$D$21+$C$22,)</f>
        <v>27417497.193457052</v>
      </c>
      <c r="E22" s="31">
        <f>+D22*'Resumen usuario'!$B$28</f>
        <v>402584.84691699146</v>
      </c>
      <c r="F22" s="86">
        <f t="shared" ref="F22" si="8">SUM(E22:E27)</f>
        <v>2415509.0815019486</v>
      </c>
      <c r="G22" s="86">
        <f>IF($A$22&gt;0,G16+F22,)</f>
        <v>5913889.7751768343</v>
      </c>
      <c r="H22" s="86">
        <f>D27</f>
        <v>27417497.193457052</v>
      </c>
      <c r="I22" s="88">
        <f t="shared" ref="I22" si="9">H22+G22</f>
        <v>33331386.968633886</v>
      </c>
      <c r="J22" s="29"/>
      <c r="K22" s="29"/>
      <c r="L22" s="29"/>
    </row>
    <row r="23" spans="1:12" ht="14.4" customHeight="1" x14ac:dyDescent="0.3">
      <c r="A23" s="91"/>
      <c r="B23" s="30">
        <f t="shared" ref="B23:B27" si="10">IF($A$22&gt;1,+B22+1,0)</f>
        <v>20</v>
      </c>
      <c r="C23" s="92"/>
      <c r="D23" s="31">
        <f t="shared" ref="D23:D27" si="11">IF($A$22&gt;0,$D$21+$C$22,)</f>
        <v>27417497.193457052</v>
      </c>
      <c r="E23" s="31">
        <f>+D23*'Resumen usuario'!$B$28</f>
        <v>402584.84691699146</v>
      </c>
      <c r="F23" s="86"/>
      <c r="G23" s="86"/>
      <c r="H23" s="86"/>
      <c r="I23" s="88"/>
      <c r="J23" s="29"/>
      <c r="K23" s="29"/>
      <c r="L23" s="29"/>
    </row>
    <row r="24" spans="1:12" ht="14.4" customHeight="1" x14ac:dyDescent="0.3">
      <c r="A24" s="91"/>
      <c r="B24" s="30">
        <f t="shared" si="10"/>
        <v>21</v>
      </c>
      <c r="C24" s="92"/>
      <c r="D24" s="31">
        <f t="shared" si="11"/>
        <v>27417497.193457052</v>
      </c>
      <c r="E24" s="31">
        <f>+D24*'Resumen usuario'!$B$28</f>
        <v>402584.84691699146</v>
      </c>
      <c r="F24" s="86"/>
      <c r="G24" s="86"/>
      <c r="H24" s="86"/>
      <c r="I24" s="88"/>
      <c r="J24" s="29"/>
      <c r="K24" s="29"/>
      <c r="L24" s="29"/>
    </row>
    <row r="25" spans="1:12" ht="14.4" customHeight="1" x14ac:dyDescent="0.3">
      <c r="A25" s="91"/>
      <c r="B25" s="30">
        <f t="shared" si="10"/>
        <v>22</v>
      </c>
      <c r="C25" s="92"/>
      <c r="D25" s="31">
        <f t="shared" si="11"/>
        <v>27417497.193457052</v>
      </c>
      <c r="E25" s="31">
        <f>+D25*'Resumen usuario'!$B$28</f>
        <v>402584.84691699146</v>
      </c>
      <c r="F25" s="86"/>
      <c r="G25" s="86"/>
      <c r="H25" s="86"/>
      <c r="I25" s="88"/>
      <c r="J25" s="29"/>
      <c r="K25" s="29"/>
      <c r="L25" s="29"/>
    </row>
    <row r="26" spans="1:12" ht="14.4" customHeight="1" x14ac:dyDescent="0.3">
      <c r="A26" s="91"/>
      <c r="B26" s="30">
        <f t="shared" si="10"/>
        <v>23</v>
      </c>
      <c r="C26" s="92"/>
      <c r="D26" s="31">
        <f t="shared" si="11"/>
        <v>27417497.193457052</v>
      </c>
      <c r="E26" s="31">
        <f>+D26*'Resumen usuario'!$B$28</f>
        <v>402584.84691699146</v>
      </c>
      <c r="F26" s="86"/>
      <c r="G26" s="86"/>
      <c r="H26" s="86"/>
      <c r="I26" s="88"/>
      <c r="J26" s="29"/>
      <c r="K26" s="29"/>
      <c r="L26" s="29"/>
    </row>
    <row r="27" spans="1:12" ht="15" customHeight="1" x14ac:dyDescent="0.3">
      <c r="A27" s="91"/>
      <c r="B27" s="30">
        <f t="shared" si="10"/>
        <v>24</v>
      </c>
      <c r="C27" s="92"/>
      <c r="D27" s="31">
        <f t="shared" si="11"/>
        <v>27417497.193457052</v>
      </c>
      <c r="E27" s="31">
        <f>+D27*'Resumen usuario'!$B$28</f>
        <v>402584.84691699146</v>
      </c>
      <c r="F27" s="86"/>
      <c r="G27" s="86"/>
      <c r="H27" s="86"/>
      <c r="I27" s="88"/>
      <c r="J27" s="29"/>
      <c r="K27" s="29"/>
      <c r="L27" s="29"/>
    </row>
    <row r="28" spans="1:12" ht="14.4" customHeight="1" x14ac:dyDescent="0.3">
      <c r="A28" s="91">
        <f>IF(AND(A22&gt;0,'Resumen usuario'!$B$12&gt;A22),A22+1,0)</f>
        <v>5</v>
      </c>
      <c r="B28" s="30">
        <f>IF($A$28&gt;1,+B27+1,0)</f>
        <v>25</v>
      </c>
      <c r="C28" s="92">
        <f>IF(A28&gt;0,C22*(1+'Resumen usuario'!$B$14),)</f>
        <v>7994777.8970516156</v>
      </c>
      <c r="D28" s="31">
        <f>IF($A$28&gt;0,$D$27+$C$28,)</f>
        <v>35412275.09050867</v>
      </c>
      <c r="E28" s="31">
        <f>+D28*'Resumen usuario'!$B$28</f>
        <v>519976.17600548157</v>
      </c>
      <c r="F28" s="86">
        <f t="shared" ref="F28:F46" si="12">SUM(E28:E33)</f>
        <v>3119857.0560328895</v>
      </c>
      <c r="G28" s="86">
        <f>IF($A$28&gt;0,G22+F28,)</f>
        <v>9033746.8312097229</v>
      </c>
      <c r="H28" s="86">
        <f>D33</f>
        <v>35412275.09050867</v>
      </c>
      <c r="I28" s="88">
        <f t="shared" ref="I28" si="13">H28+G28</f>
        <v>44446021.921718389</v>
      </c>
      <c r="J28" s="29"/>
      <c r="K28" s="29"/>
      <c r="L28" s="29"/>
    </row>
    <row r="29" spans="1:12" ht="14.4" customHeight="1" x14ac:dyDescent="0.3">
      <c r="A29" s="91"/>
      <c r="B29" s="30">
        <f t="shared" ref="B29:B33" si="14">IF($A$28&gt;1,+B28+1,0)</f>
        <v>26</v>
      </c>
      <c r="C29" s="92"/>
      <c r="D29" s="31">
        <f t="shared" ref="D29:D33" si="15">IF($A$28&gt;0,$D$27+$C$28,)</f>
        <v>35412275.09050867</v>
      </c>
      <c r="E29" s="31">
        <f>+D29*'Resumen usuario'!$B$28</f>
        <v>519976.17600548157</v>
      </c>
      <c r="F29" s="86"/>
      <c r="G29" s="86"/>
      <c r="H29" s="86"/>
      <c r="I29" s="88"/>
      <c r="J29" s="29"/>
      <c r="K29" s="29"/>
      <c r="L29" s="29"/>
    </row>
    <row r="30" spans="1:12" ht="14.4" customHeight="1" x14ac:dyDescent="0.3">
      <c r="A30" s="91"/>
      <c r="B30" s="30">
        <f t="shared" si="14"/>
        <v>27</v>
      </c>
      <c r="C30" s="92"/>
      <c r="D30" s="31">
        <f t="shared" si="15"/>
        <v>35412275.09050867</v>
      </c>
      <c r="E30" s="31">
        <f>+D30*'Resumen usuario'!$B$28</f>
        <v>519976.17600548157</v>
      </c>
      <c r="F30" s="86"/>
      <c r="G30" s="86"/>
      <c r="H30" s="86"/>
      <c r="I30" s="88"/>
      <c r="J30" s="29"/>
      <c r="K30" s="29"/>
      <c r="L30" s="29"/>
    </row>
    <row r="31" spans="1:12" ht="14.4" customHeight="1" x14ac:dyDescent="0.3">
      <c r="A31" s="91"/>
      <c r="B31" s="30">
        <f t="shared" si="14"/>
        <v>28</v>
      </c>
      <c r="C31" s="92"/>
      <c r="D31" s="31">
        <f t="shared" si="15"/>
        <v>35412275.09050867</v>
      </c>
      <c r="E31" s="31">
        <f>+D31*'Resumen usuario'!$B$28</f>
        <v>519976.17600548157</v>
      </c>
      <c r="F31" s="86"/>
      <c r="G31" s="86"/>
      <c r="H31" s="86"/>
      <c r="I31" s="88"/>
      <c r="J31" s="29"/>
      <c r="K31" s="29"/>
      <c r="L31" s="29"/>
    </row>
    <row r="32" spans="1:12" ht="14.4" customHeight="1" x14ac:dyDescent="0.3">
      <c r="A32" s="91"/>
      <c r="B32" s="30">
        <f t="shared" si="14"/>
        <v>29</v>
      </c>
      <c r="C32" s="92"/>
      <c r="D32" s="31">
        <f t="shared" si="15"/>
        <v>35412275.09050867</v>
      </c>
      <c r="E32" s="31">
        <f>+D32*'Resumen usuario'!$B$28</f>
        <v>519976.17600548157</v>
      </c>
      <c r="F32" s="86"/>
      <c r="G32" s="86"/>
      <c r="H32" s="86"/>
      <c r="I32" s="88"/>
      <c r="J32" s="29"/>
      <c r="K32" s="29"/>
      <c r="L32" s="29"/>
    </row>
    <row r="33" spans="1:12" ht="15" customHeight="1" x14ac:dyDescent="0.3">
      <c r="A33" s="91"/>
      <c r="B33" s="30">
        <f t="shared" si="14"/>
        <v>30</v>
      </c>
      <c r="C33" s="92"/>
      <c r="D33" s="31">
        <f t="shared" si="15"/>
        <v>35412275.09050867</v>
      </c>
      <c r="E33" s="31">
        <f>+D33*'Resumen usuario'!$B$28</f>
        <v>519976.17600548157</v>
      </c>
      <c r="F33" s="86"/>
      <c r="G33" s="86"/>
      <c r="H33" s="86"/>
      <c r="I33" s="88"/>
      <c r="J33" s="29"/>
      <c r="K33" s="29"/>
      <c r="L33" s="29"/>
    </row>
    <row r="34" spans="1:12" ht="14.4" customHeight="1" x14ac:dyDescent="0.3">
      <c r="A34" s="91">
        <f>IF(AND(A28&gt;0,'Resumen usuario'!$B$12&gt;A28),A28+1,0)</f>
        <v>6</v>
      </c>
      <c r="B34" s="30">
        <f>IF($A$34&gt;1,+B33+1,0)</f>
        <v>31</v>
      </c>
      <c r="C34" s="92">
        <f>IF(A34&gt;0,C28,)</f>
        <v>7994777.8970516156</v>
      </c>
      <c r="D34" s="31">
        <f>IF($A$34&gt;0,$D$33+$C$34,)</f>
        <v>43407052.987560287</v>
      </c>
      <c r="E34" s="31">
        <f>+D34*'Resumen usuario'!$B$28</f>
        <v>637367.50509397173</v>
      </c>
      <c r="F34" s="86">
        <f t="shared" ref="F34" si="16">SUM(E34:E39)</f>
        <v>3824205.0305638304</v>
      </c>
      <c r="G34" s="86">
        <f>IF($A$34&gt;0,G28+F34,)</f>
        <v>12857951.861773554</v>
      </c>
      <c r="H34" s="86">
        <f>D39</f>
        <v>43407052.987560287</v>
      </c>
      <c r="I34" s="88">
        <f t="shared" ref="I34" si="17">H34+G34</f>
        <v>56265004.849333838</v>
      </c>
      <c r="J34" s="29"/>
      <c r="K34" s="29"/>
      <c r="L34" s="29"/>
    </row>
    <row r="35" spans="1:12" ht="14.4" customHeight="1" x14ac:dyDescent="0.3">
      <c r="A35" s="91"/>
      <c r="B35" s="30">
        <f t="shared" ref="B35:B39" si="18">IF($A$34&gt;1,+B34+1,0)</f>
        <v>32</v>
      </c>
      <c r="C35" s="92"/>
      <c r="D35" s="31">
        <f t="shared" ref="D35:D39" si="19">IF($A$34&gt;0,$D$33+$C$34,)</f>
        <v>43407052.987560287</v>
      </c>
      <c r="E35" s="31">
        <f>+D35*'Resumen usuario'!$B$28</f>
        <v>637367.50509397173</v>
      </c>
      <c r="F35" s="86"/>
      <c r="G35" s="86"/>
      <c r="H35" s="86"/>
      <c r="I35" s="88"/>
      <c r="J35" s="29"/>
      <c r="K35" s="29"/>
      <c r="L35" s="29"/>
    </row>
    <row r="36" spans="1:12" ht="14.4" customHeight="1" x14ac:dyDescent="0.3">
      <c r="A36" s="91"/>
      <c r="B36" s="30">
        <f t="shared" si="18"/>
        <v>33</v>
      </c>
      <c r="C36" s="92"/>
      <c r="D36" s="31">
        <f t="shared" si="19"/>
        <v>43407052.987560287</v>
      </c>
      <c r="E36" s="31">
        <f>+D36*'Resumen usuario'!$B$28</f>
        <v>637367.50509397173</v>
      </c>
      <c r="F36" s="86"/>
      <c r="G36" s="86"/>
      <c r="H36" s="86"/>
      <c r="I36" s="88"/>
      <c r="J36" s="29"/>
      <c r="K36" s="29"/>
      <c r="L36" s="29"/>
    </row>
    <row r="37" spans="1:12" ht="14.4" customHeight="1" x14ac:dyDescent="0.3">
      <c r="A37" s="91"/>
      <c r="B37" s="30">
        <f t="shared" si="18"/>
        <v>34</v>
      </c>
      <c r="C37" s="92"/>
      <c r="D37" s="31">
        <f t="shared" si="19"/>
        <v>43407052.987560287</v>
      </c>
      <c r="E37" s="31">
        <f>+D37*'Resumen usuario'!$B$28</f>
        <v>637367.50509397173</v>
      </c>
      <c r="F37" s="86"/>
      <c r="G37" s="86"/>
      <c r="H37" s="86"/>
      <c r="I37" s="88"/>
      <c r="J37" s="29"/>
      <c r="K37" s="29"/>
      <c r="L37" s="29"/>
    </row>
    <row r="38" spans="1:12" ht="14.4" customHeight="1" x14ac:dyDescent="0.3">
      <c r="A38" s="91"/>
      <c r="B38" s="30">
        <f t="shared" si="18"/>
        <v>35</v>
      </c>
      <c r="C38" s="92"/>
      <c r="D38" s="31">
        <f t="shared" si="19"/>
        <v>43407052.987560287</v>
      </c>
      <c r="E38" s="31">
        <f>+D38*'Resumen usuario'!$B$28</f>
        <v>637367.50509397173</v>
      </c>
      <c r="F38" s="86"/>
      <c r="G38" s="86"/>
      <c r="H38" s="86"/>
      <c r="I38" s="88"/>
      <c r="J38" s="29"/>
      <c r="K38" s="29"/>
      <c r="L38" s="29"/>
    </row>
    <row r="39" spans="1:12" ht="15" customHeight="1" x14ac:dyDescent="0.3">
      <c r="A39" s="91"/>
      <c r="B39" s="30">
        <f t="shared" si="18"/>
        <v>36</v>
      </c>
      <c r="C39" s="92"/>
      <c r="D39" s="31">
        <f t="shared" si="19"/>
        <v>43407052.987560287</v>
      </c>
      <c r="E39" s="31">
        <f>+D39*'Resumen usuario'!$B$28</f>
        <v>637367.50509397173</v>
      </c>
      <c r="F39" s="86"/>
      <c r="G39" s="86"/>
      <c r="H39" s="86"/>
      <c r="I39" s="88"/>
      <c r="J39" s="29"/>
      <c r="K39" s="29"/>
      <c r="L39" s="29"/>
    </row>
    <row r="40" spans="1:12" ht="14.4" customHeight="1" x14ac:dyDescent="0.3">
      <c r="A40" s="91">
        <f>IF(AND(A34&gt;0,'Resumen usuario'!$B$12&gt;A34),A34+1,0)</f>
        <v>7</v>
      </c>
      <c r="B40" s="30">
        <f>IF($A$40&gt;1,+B39+1,0)</f>
        <v>37</v>
      </c>
      <c r="C40" s="92">
        <f>IF(A40&gt;0,C34*(1+'Resumen usuario'!$B$14),)</f>
        <v>8866514.4533118568</v>
      </c>
      <c r="D40" s="31">
        <f>IF($A$40&gt;0,$D$39+$C$40,)</f>
        <v>52273567.440872148</v>
      </c>
      <c r="E40" s="31">
        <f>+D40*'Resumen usuario'!$B$28</f>
        <v>767558.97876085644</v>
      </c>
      <c r="F40" s="86">
        <f t="shared" ref="F40" si="20">SUM(E40:E45)</f>
        <v>4605353.8725651382</v>
      </c>
      <c r="G40" s="86">
        <f>IF($A$40&gt;0,G34+F40,)</f>
        <v>17463305.734338693</v>
      </c>
      <c r="H40" s="86">
        <f>D45</f>
        <v>52273567.440872148</v>
      </c>
      <c r="I40" s="88">
        <f t="shared" ref="I40" si="21">H40+G40</f>
        <v>69736873.175210834</v>
      </c>
      <c r="J40" s="29"/>
      <c r="K40" s="29"/>
      <c r="L40" s="29"/>
    </row>
    <row r="41" spans="1:12" ht="14.4" customHeight="1" x14ac:dyDescent="0.3">
      <c r="A41" s="91"/>
      <c r="B41" s="30">
        <f t="shared" ref="B41:B45" si="22">IF($A$40&gt;1,+B40+1,0)</f>
        <v>38</v>
      </c>
      <c r="C41" s="92"/>
      <c r="D41" s="31">
        <f t="shared" ref="D41:D45" si="23">IF($A$40&gt;0,$D$39+$C$40,)</f>
        <v>52273567.440872148</v>
      </c>
      <c r="E41" s="31">
        <f>+D41*'Resumen usuario'!$B$28</f>
        <v>767558.97876085644</v>
      </c>
      <c r="F41" s="86"/>
      <c r="G41" s="86"/>
      <c r="H41" s="86"/>
      <c r="I41" s="88"/>
      <c r="J41" s="29"/>
      <c r="K41" s="29"/>
      <c r="L41" s="29"/>
    </row>
    <row r="42" spans="1:12" ht="14.4" customHeight="1" x14ac:dyDescent="0.3">
      <c r="A42" s="91"/>
      <c r="B42" s="30">
        <f t="shared" si="22"/>
        <v>39</v>
      </c>
      <c r="C42" s="92"/>
      <c r="D42" s="31">
        <f t="shared" si="23"/>
        <v>52273567.440872148</v>
      </c>
      <c r="E42" s="31">
        <f>+D42*'Resumen usuario'!$B$28</f>
        <v>767558.97876085644</v>
      </c>
      <c r="F42" s="86"/>
      <c r="G42" s="86"/>
      <c r="H42" s="86"/>
      <c r="I42" s="88"/>
      <c r="J42" s="29"/>
      <c r="K42" s="29"/>
      <c r="L42" s="29"/>
    </row>
    <row r="43" spans="1:12" ht="14.4" customHeight="1" x14ac:dyDescent="0.3">
      <c r="A43" s="91"/>
      <c r="B43" s="30">
        <f t="shared" si="22"/>
        <v>40</v>
      </c>
      <c r="C43" s="92"/>
      <c r="D43" s="31">
        <f t="shared" si="23"/>
        <v>52273567.440872148</v>
      </c>
      <c r="E43" s="31">
        <f>+D43*'Resumen usuario'!$B$28</f>
        <v>767558.97876085644</v>
      </c>
      <c r="F43" s="86"/>
      <c r="G43" s="86"/>
      <c r="H43" s="86"/>
      <c r="I43" s="88"/>
      <c r="J43" s="29"/>
      <c r="K43" s="29"/>
      <c r="L43" s="29"/>
    </row>
    <row r="44" spans="1:12" ht="14.4" customHeight="1" x14ac:dyDescent="0.3">
      <c r="A44" s="91"/>
      <c r="B44" s="30">
        <f t="shared" si="22"/>
        <v>41</v>
      </c>
      <c r="C44" s="92"/>
      <c r="D44" s="31">
        <f t="shared" si="23"/>
        <v>52273567.440872148</v>
      </c>
      <c r="E44" s="31">
        <f>+D44*'Resumen usuario'!$B$28</f>
        <v>767558.97876085644</v>
      </c>
      <c r="F44" s="86"/>
      <c r="G44" s="86"/>
      <c r="H44" s="86"/>
      <c r="I44" s="88"/>
      <c r="J44" s="29"/>
      <c r="K44" s="29"/>
      <c r="L44" s="29"/>
    </row>
    <row r="45" spans="1:12" ht="15" customHeight="1" x14ac:dyDescent="0.3">
      <c r="A45" s="91"/>
      <c r="B45" s="30">
        <f t="shared" si="22"/>
        <v>42</v>
      </c>
      <c r="C45" s="92"/>
      <c r="D45" s="31">
        <f t="shared" si="23"/>
        <v>52273567.440872148</v>
      </c>
      <c r="E45" s="31">
        <f>+D45*'Resumen usuario'!$B$28</f>
        <v>767558.97876085644</v>
      </c>
      <c r="F45" s="86"/>
      <c r="G45" s="86"/>
      <c r="H45" s="86"/>
      <c r="I45" s="88"/>
      <c r="J45" s="29"/>
      <c r="K45" s="29"/>
      <c r="L45" s="29"/>
    </row>
    <row r="46" spans="1:12" ht="14.4" customHeight="1" x14ac:dyDescent="0.3">
      <c r="A46" s="91">
        <f>IF(AND(A40&gt;0,'Resumen usuario'!$B$12&gt;A40),A40+1,0)</f>
        <v>8</v>
      </c>
      <c r="B46" s="30">
        <f>IF($A$46&gt;1,+B45+1,0)</f>
        <v>43</v>
      </c>
      <c r="C46" s="92">
        <f>IF(A46&gt;0,C40,)</f>
        <v>8866514.4533118568</v>
      </c>
      <c r="D46" s="31">
        <f>IF($A$46&gt;0,$D$45+$C$46,)</f>
        <v>61140081.894184008</v>
      </c>
      <c r="E46" s="31">
        <f>+D46*'Resumen usuario'!$B$28</f>
        <v>897750.45242774102</v>
      </c>
      <c r="F46" s="86">
        <f t="shared" si="12"/>
        <v>5386502.7145664459</v>
      </c>
      <c r="G46" s="86">
        <f>IF($A$46&gt;0,G40+F46,)</f>
        <v>22849808.44890514</v>
      </c>
      <c r="H46" s="86">
        <f>D51</f>
        <v>61140081.894184008</v>
      </c>
      <c r="I46" s="88">
        <f t="shared" ref="I46" si="24">H46+G46</f>
        <v>83989890.343089148</v>
      </c>
      <c r="J46" s="29"/>
      <c r="K46" s="29"/>
      <c r="L46" s="29"/>
    </row>
    <row r="47" spans="1:12" ht="14.4" customHeight="1" x14ac:dyDescent="0.3">
      <c r="A47" s="91"/>
      <c r="B47" s="30">
        <f t="shared" ref="B47:B51" si="25">IF($A$46&gt;1,+B46+1,0)</f>
        <v>44</v>
      </c>
      <c r="C47" s="92"/>
      <c r="D47" s="31">
        <f t="shared" ref="D47:D51" si="26">IF($A$46&gt;0,$D$45+$C$46,)</f>
        <v>61140081.894184008</v>
      </c>
      <c r="E47" s="31">
        <f>+D47*'Resumen usuario'!$B$28</f>
        <v>897750.45242774102</v>
      </c>
      <c r="F47" s="86"/>
      <c r="G47" s="86"/>
      <c r="H47" s="86"/>
      <c r="I47" s="88"/>
      <c r="J47" s="29"/>
      <c r="K47" s="29"/>
      <c r="L47" s="29"/>
    </row>
    <row r="48" spans="1:12" ht="14.4" customHeight="1" x14ac:dyDescent="0.3">
      <c r="A48" s="91"/>
      <c r="B48" s="30">
        <f t="shared" si="25"/>
        <v>45</v>
      </c>
      <c r="C48" s="92"/>
      <c r="D48" s="31">
        <f t="shared" si="26"/>
        <v>61140081.894184008</v>
      </c>
      <c r="E48" s="31">
        <f>+D48*'Resumen usuario'!$B$28</f>
        <v>897750.45242774102</v>
      </c>
      <c r="F48" s="86"/>
      <c r="G48" s="86"/>
      <c r="H48" s="86"/>
      <c r="I48" s="88"/>
      <c r="J48" s="29"/>
      <c r="K48" s="29"/>
      <c r="L48" s="29"/>
    </row>
    <row r="49" spans="1:12" ht="14.4" customHeight="1" x14ac:dyDescent="0.3">
      <c r="A49" s="91"/>
      <c r="B49" s="30">
        <f t="shared" si="25"/>
        <v>46</v>
      </c>
      <c r="C49" s="92"/>
      <c r="D49" s="31">
        <f t="shared" si="26"/>
        <v>61140081.894184008</v>
      </c>
      <c r="E49" s="31">
        <f>+D49*'Resumen usuario'!$B$28</f>
        <v>897750.45242774102</v>
      </c>
      <c r="F49" s="86"/>
      <c r="G49" s="86"/>
      <c r="H49" s="86"/>
      <c r="I49" s="88"/>
      <c r="J49" s="29"/>
      <c r="K49" s="29"/>
      <c r="L49" s="29"/>
    </row>
    <row r="50" spans="1:12" ht="14.4" customHeight="1" x14ac:dyDescent="0.3">
      <c r="A50" s="91"/>
      <c r="B50" s="30">
        <f t="shared" si="25"/>
        <v>47</v>
      </c>
      <c r="C50" s="92"/>
      <c r="D50" s="31">
        <f t="shared" si="26"/>
        <v>61140081.894184008</v>
      </c>
      <c r="E50" s="31">
        <f>+D50*'Resumen usuario'!$B$28</f>
        <v>897750.45242774102</v>
      </c>
      <c r="F50" s="86"/>
      <c r="G50" s="86"/>
      <c r="H50" s="86"/>
      <c r="I50" s="88"/>
      <c r="J50" s="29"/>
      <c r="K50" s="29"/>
      <c r="L50" s="29"/>
    </row>
    <row r="51" spans="1:12" ht="15" customHeight="1" x14ac:dyDescent="0.3">
      <c r="A51" s="91"/>
      <c r="B51" s="30">
        <f t="shared" si="25"/>
        <v>48</v>
      </c>
      <c r="C51" s="92"/>
      <c r="D51" s="31">
        <f t="shared" si="26"/>
        <v>61140081.894184008</v>
      </c>
      <c r="E51" s="31">
        <f>+D51*'Resumen usuario'!$B$28</f>
        <v>897750.45242774102</v>
      </c>
      <c r="F51" s="86"/>
      <c r="G51" s="86"/>
      <c r="H51" s="86"/>
      <c r="I51" s="88"/>
      <c r="J51" s="29"/>
      <c r="K51" s="29"/>
      <c r="L51" s="29"/>
    </row>
    <row r="52" spans="1:12" ht="14.4" customHeight="1" x14ac:dyDescent="0.3">
      <c r="A52" s="91">
        <f>IF(AND(A46&gt;0,'Resumen usuario'!$B$12&gt;A46),A46+1,0)</f>
        <v>9</v>
      </c>
      <c r="B52" s="30">
        <f>IF($A$52&gt;1,+B51+1,0)</f>
        <v>49</v>
      </c>
      <c r="C52" s="92">
        <f>IF(A52&gt;0,C46*(1+'Resumen usuario'!$B$14),)</f>
        <v>9833303.6343361605</v>
      </c>
      <c r="D52" s="31">
        <f>IF($A$52&gt;0,$D$51+$C$52,)</f>
        <v>70973385.528520167</v>
      </c>
      <c r="E52" s="31">
        <f>+D52*'Resumen usuario'!$B$28</f>
        <v>1042137.7759819215</v>
      </c>
      <c r="F52" s="86">
        <f>SUM(E52:E57)</f>
        <v>6252826.6558915293</v>
      </c>
      <c r="G52" s="86">
        <f>IF($A$52&gt;0,G46+F52,)</f>
        <v>29102635.10479667</v>
      </c>
      <c r="H52" s="86">
        <f>D57</f>
        <v>70973385.528520167</v>
      </c>
      <c r="I52" s="88">
        <f>H52+G52</f>
        <v>100076020.63331684</v>
      </c>
      <c r="J52" s="29"/>
      <c r="K52" s="29"/>
      <c r="L52" s="29"/>
    </row>
    <row r="53" spans="1:12" ht="14.4" customHeight="1" x14ac:dyDescent="0.3">
      <c r="A53" s="91"/>
      <c r="B53" s="30">
        <f t="shared" ref="B53:B57" si="27">IF($A$52&gt;1,+B52+1,0)</f>
        <v>50</v>
      </c>
      <c r="C53" s="92"/>
      <c r="D53" s="31">
        <f t="shared" ref="D53:D57" si="28">IF($A$52&gt;0,$D$51+$C$52,)</f>
        <v>70973385.528520167</v>
      </c>
      <c r="E53" s="31">
        <f>+D53*'Resumen usuario'!$B$28</f>
        <v>1042137.7759819215</v>
      </c>
      <c r="F53" s="86"/>
      <c r="G53" s="86"/>
      <c r="H53" s="86"/>
      <c r="I53" s="88"/>
      <c r="J53" s="29"/>
      <c r="K53" s="29"/>
      <c r="L53" s="29"/>
    </row>
    <row r="54" spans="1:12" ht="14.4" customHeight="1" x14ac:dyDescent="0.3">
      <c r="A54" s="91"/>
      <c r="B54" s="30">
        <f t="shared" si="27"/>
        <v>51</v>
      </c>
      <c r="C54" s="92"/>
      <c r="D54" s="31">
        <f t="shared" si="28"/>
        <v>70973385.528520167</v>
      </c>
      <c r="E54" s="31">
        <f>+D54*'Resumen usuario'!$B$28</f>
        <v>1042137.7759819215</v>
      </c>
      <c r="F54" s="86"/>
      <c r="G54" s="86"/>
      <c r="H54" s="86"/>
      <c r="I54" s="88"/>
      <c r="J54" s="29"/>
      <c r="K54" s="29"/>
      <c r="L54" s="29"/>
    </row>
    <row r="55" spans="1:12" ht="14.4" customHeight="1" x14ac:dyDescent="0.3">
      <c r="A55" s="91"/>
      <c r="B55" s="30">
        <f t="shared" si="27"/>
        <v>52</v>
      </c>
      <c r="C55" s="92"/>
      <c r="D55" s="31">
        <f t="shared" si="28"/>
        <v>70973385.528520167</v>
      </c>
      <c r="E55" s="31">
        <f>+D55*'Resumen usuario'!$B$28</f>
        <v>1042137.7759819215</v>
      </c>
      <c r="F55" s="86"/>
      <c r="G55" s="86"/>
      <c r="H55" s="86"/>
      <c r="I55" s="88"/>
      <c r="J55" s="29"/>
      <c r="K55" s="29"/>
      <c r="L55" s="29"/>
    </row>
    <row r="56" spans="1:12" ht="14.4" customHeight="1" x14ac:dyDescent="0.3">
      <c r="A56" s="91"/>
      <c r="B56" s="30">
        <f t="shared" si="27"/>
        <v>53</v>
      </c>
      <c r="C56" s="92"/>
      <c r="D56" s="31">
        <f t="shared" si="28"/>
        <v>70973385.528520167</v>
      </c>
      <c r="E56" s="31">
        <f>+D56*'Resumen usuario'!$B$28</f>
        <v>1042137.7759819215</v>
      </c>
      <c r="F56" s="86"/>
      <c r="G56" s="86"/>
      <c r="H56" s="86"/>
      <c r="I56" s="88"/>
      <c r="J56" s="29"/>
      <c r="K56" s="29"/>
      <c r="L56" s="29"/>
    </row>
    <row r="57" spans="1:12" ht="15" customHeight="1" x14ac:dyDescent="0.3">
      <c r="A57" s="91"/>
      <c r="B57" s="30">
        <f t="shared" si="27"/>
        <v>54</v>
      </c>
      <c r="C57" s="92"/>
      <c r="D57" s="31">
        <f t="shared" si="28"/>
        <v>70973385.528520167</v>
      </c>
      <c r="E57" s="31">
        <f>+D57*'Resumen usuario'!$B$28</f>
        <v>1042137.7759819215</v>
      </c>
      <c r="F57" s="86"/>
      <c r="G57" s="86"/>
      <c r="H57" s="86"/>
      <c r="I57" s="88"/>
      <c r="J57" s="29"/>
      <c r="K57" s="29"/>
      <c r="L57" s="29"/>
    </row>
    <row r="58" spans="1:12" s="23" customFormat="1" ht="15" customHeight="1" x14ac:dyDescent="0.3">
      <c r="A58" s="91">
        <f>IF(AND(A52&gt;0,'Resumen usuario'!$B$12&gt;A52),A52+1,0)</f>
        <v>10</v>
      </c>
      <c r="B58" s="30">
        <f>IF($A$58&gt;1,+B57+1,0)</f>
        <v>55</v>
      </c>
      <c r="C58" s="92">
        <f>IF(A58&gt;0,C52,)</f>
        <v>9833303.6343361605</v>
      </c>
      <c r="D58" s="31">
        <f>IF($A$58&gt;0,$D$57+$C$58,)</f>
        <v>80806689.162856326</v>
      </c>
      <c r="E58" s="31">
        <f>+D58*'Resumen usuario'!$B$28</f>
        <v>1186525.099536102</v>
      </c>
      <c r="F58" s="86">
        <f>SUM(E58:E63)</f>
        <v>7119150.5972166127</v>
      </c>
      <c r="G58" s="86">
        <f>IF($A$58&gt;0,G52+F58,)</f>
        <v>36221785.702013284</v>
      </c>
      <c r="H58" s="86">
        <f>D63</f>
        <v>80806689.162856326</v>
      </c>
      <c r="I58" s="87">
        <f t="shared" ref="I58" si="29">H58+G58</f>
        <v>117028474.86486961</v>
      </c>
      <c r="J58" s="29"/>
      <c r="K58" s="29"/>
      <c r="L58" s="29"/>
    </row>
    <row r="59" spans="1:12" s="23" customFormat="1" ht="15" customHeight="1" x14ac:dyDescent="0.3">
      <c r="A59" s="91"/>
      <c r="B59" s="30">
        <f t="shared" ref="B59:B63" si="30">IF($A$58&gt;1,+B58+1,0)</f>
        <v>56</v>
      </c>
      <c r="C59" s="92"/>
      <c r="D59" s="31">
        <f t="shared" ref="D59:D63" si="31">IF($A$58&gt;0,$D$57+$C$58,)</f>
        <v>80806689.162856326</v>
      </c>
      <c r="E59" s="31">
        <f>+D59*'Resumen usuario'!$B$28</f>
        <v>1186525.099536102</v>
      </c>
      <c r="F59" s="86"/>
      <c r="G59" s="86"/>
      <c r="H59" s="86"/>
      <c r="I59" s="87"/>
      <c r="J59" s="29"/>
      <c r="K59" s="29"/>
      <c r="L59" s="29"/>
    </row>
    <row r="60" spans="1:12" s="23" customFormat="1" ht="15" customHeight="1" x14ac:dyDescent="0.3">
      <c r="A60" s="91"/>
      <c r="B60" s="30">
        <f t="shared" si="30"/>
        <v>57</v>
      </c>
      <c r="C60" s="92"/>
      <c r="D60" s="31">
        <f t="shared" si="31"/>
        <v>80806689.162856326</v>
      </c>
      <c r="E60" s="31">
        <f>+D60*'Resumen usuario'!$B$28</f>
        <v>1186525.099536102</v>
      </c>
      <c r="F60" s="86"/>
      <c r="G60" s="86"/>
      <c r="H60" s="86"/>
      <c r="I60" s="87"/>
      <c r="J60" s="29"/>
      <c r="K60" s="29"/>
      <c r="L60" s="29"/>
    </row>
    <row r="61" spans="1:12" s="23" customFormat="1" ht="15" customHeight="1" x14ac:dyDescent="0.3">
      <c r="A61" s="91"/>
      <c r="B61" s="30">
        <f t="shared" si="30"/>
        <v>58</v>
      </c>
      <c r="C61" s="92"/>
      <c r="D61" s="31">
        <f t="shared" si="31"/>
        <v>80806689.162856326</v>
      </c>
      <c r="E61" s="31">
        <f>+D61*'Resumen usuario'!$B$28</f>
        <v>1186525.099536102</v>
      </c>
      <c r="F61" s="86"/>
      <c r="G61" s="86"/>
      <c r="H61" s="86"/>
      <c r="I61" s="87"/>
      <c r="J61" s="29"/>
      <c r="K61" s="29"/>
      <c r="L61" s="29"/>
    </row>
    <row r="62" spans="1:12" s="23" customFormat="1" ht="15" customHeight="1" x14ac:dyDescent="0.3">
      <c r="A62" s="91"/>
      <c r="B62" s="30">
        <f t="shared" si="30"/>
        <v>59</v>
      </c>
      <c r="C62" s="92"/>
      <c r="D62" s="31">
        <f t="shared" si="31"/>
        <v>80806689.162856326</v>
      </c>
      <c r="E62" s="31">
        <f>+D62*'Resumen usuario'!$B$28</f>
        <v>1186525.099536102</v>
      </c>
      <c r="F62" s="86"/>
      <c r="G62" s="86"/>
      <c r="H62" s="86"/>
      <c r="I62" s="87"/>
      <c r="J62" s="29"/>
      <c r="K62" s="29"/>
      <c r="L62" s="29"/>
    </row>
    <row r="63" spans="1:12" s="23" customFormat="1" ht="15" customHeight="1" x14ac:dyDescent="0.3">
      <c r="A63" s="91"/>
      <c r="B63" s="30">
        <f t="shared" si="30"/>
        <v>60</v>
      </c>
      <c r="C63" s="92"/>
      <c r="D63" s="31">
        <f t="shared" si="31"/>
        <v>80806689.162856326</v>
      </c>
      <c r="E63" s="31">
        <f>+D63*'Resumen usuario'!$B$28</f>
        <v>1186525.099536102</v>
      </c>
      <c r="F63" s="86"/>
      <c r="G63" s="86"/>
      <c r="H63" s="86"/>
      <c r="I63" s="87"/>
      <c r="J63" s="29"/>
      <c r="K63" s="29"/>
      <c r="L63" s="29"/>
    </row>
    <row r="64" spans="1:12" s="23" customFormat="1" ht="15" customHeight="1" x14ac:dyDescent="0.3">
      <c r="A64" s="91">
        <f>IF(AND(A58&gt;0,'Resumen usuario'!$B$12&gt;A58),A58+1,0)</f>
        <v>0</v>
      </c>
      <c r="B64" s="30">
        <f>IF($A$64&gt;1,+B63+1,0)</f>
        <v>0</v>
      </c>
      <c r="C64" s="92">
        <f>IF(A64&gt;0,C58*(1+'Resumen usuario'!$B$14),)</f>
        <v>0</v>
      </c>
      <c r="D64" s="31">
        <f>IF($A$64&gt;0,$D$63+$C$64,)</f>
        <v>0</v>
      </c>
      <c r="E64" s="31">
        <f>+D64*'Resumen usuario'!$B$28</f>
        <v>0</v>
      </c>
      <c r="F64" s="86">
        <f>SUM(E64:E69)</f>
        <v>0</v>
      </c>
      <c r="G64" s="86">
        <f>IF($A$64&gt;0,G58+F64,)</f>
        <v>0</v>
      </c>
      <c r="H64" s="86">
        <f>D69</f>
        <v>0</v>
      </c>
      <c r="I64" s="87">
        <f t="shared" ref="I64" si="32">H64+G64</f>
        <v>0</v>
      </c>
      <c r="J64" s="29"/>
      <c r="K64" s="29"/>
      <c r="L64" s="29"/>
    </row>
    <row r="65" spans="1:12" s="23" customFormat="1" ht="15" customHeight="1" x14ac:dyDescent="0.3">
      <c r="A65" s="91"/>
      <c r="B65" s="30">
        <f t="shared" ref="B65:B69" si="33">IF($A$64&gt;1,+B64+1,0)</f>
        <v>0</v>
      </c>
      <c r="C65" s="92"/>
      <c r="D65" s="31">
        <f t="shared" ref="D65:D69" si="34">IF($A$64&gt;0,$D$63+$C$64,)</f>
        <v>0</v>
      </c>
      <c r="E65" s="31">
        <f>+D65*'Resumen usuario'!$B$28</f>
        <v>0</v>
      </c>
      <c r="F65" s="86"/>
      <c r="G65" s="86"/>
      <c r="H65" s="86"/>
      <c r="I65" s="87"/>
      <c r="J65" s="29"/>
      <c r="K65" s="29"/>
      <c r="L65" s="29"/>
    </row>
    <row r="66" spans="1:12" s="23" customFormat="1" ht="15" customHeight="1" x14ac:dyDescent="0.3">
      <c r="A66" s="91"/>
      <c r="B66" s="30">
        <f t="shared" si="33"/>
        <v>0</v>
      </c>
      <c r="C66" s="92"/>
      <c r="D66" s="31">
        <f t="shared" si="34"/>
        <v>0</v>
      </c>
      <c r="E66" s="31">
        <f>+D66*'Resumen usuario'!$B$28</f>
        <v>0</v>
      </c>
      <c r="F66" s="86"/>
      <c r="G66" s="86"/>
      <c r="H66" s="86"/>
      <c r="I66" s="87"/>
      <c r="J66" s="29"/>
      <c r="K66" s="29"/>
      <c r="L66" s="29"/>
    </row>
    <row r="67" spans="1:12" s="23" customFormat="1" ht="15" customHeight="1" x14ac:dyDescent="0.3">
      <c r="A67" s="91"/>
      <c r="B67" s="30">
        <f t="shared" si="33"/>
        <v>0</v>
      </c>
      <c r="C67" s="92"/>
      <c r="D67" s="31">
        <f t="shared" si="34"/>
        <v>0</v>
      </c>
      <c r="E67" s="31">
        <f>+D67*'Resumen usuario'!$B$28</f>
        <v>0</v>
      </c>
      <c r="F67" s="86"/>
      <c r="G67" s="86"/>
      <c r="H67" s="86"/>
      <c r="I67" s="87"/>
      <c r="J67" s="29"/>
      <c r="K67" s="29"/>
      <c r="L67" s="29"/>
    </row>
    <row r="68" spans="1:12" s="23" customFormat="1" ht="15" customHeight="1" x14ac:dyDescent="0.3">
      <c r="A68" s="91"/>
      <c r="B68" s="30">
        <f t="shared" si="33"/>
        <v>0</v>
      </c>
      <c r="C68" s="92"/>
      <c r="D68" s="31">
        <f t="shared" si="34"/>
        <v>0</v>
      </c>
      <c r="E68" s="31">
        <f>+D68*'Resumen usuario'!$B$28</f>
        <v>0</v>
      </c>
      <c r="F68" s="86"/>
      <c r="G68" s="86"/>
      <c r="H68" s="86"/>
      <c r="I68" s="87"/>
      <c r="J68" s="29"/>
      <c r="K68" s="29"/>
      <c r="L68" s="29"/>
    </row>
    <row r="69" spans="1:12" s="23" customFormat="1" ht="15" customHeight="1" x14ac:dyDescent="0.3">
      <c r="A69" s="91"/>
      <c r="B69" s="30">
        <f t="shared" si="33"/>
        <v>0</v>
      </c>
      <c r="C69" s="92"/>
      <c r="D69" s="31">
        <f t="shared" si="34"/>
        <v>0</v>
      </c>
      <c r="E69" s="31">
        <f>+D69*'Resumen usuario'!$B$28</f>
        <v>0</v>
      </c>
      <c r="F69" s="86"/>
      <c r="G69" s="86"/>
      <c r="H69" s="86"/>
      <c r="I69" s="87"/>
      <c r="J69" s="29"/>
      <c r="K69" s="29"/>
      <c r="L69" s="29"/>
    </row>
    <row r="70" spans="1:12" s="23" customFormat="1" ht="15" customHeight="1" x14ac:dyDescent="0.3">
      <c r="A70" s="91">
        <f>IF(AND(A64&gt;0,'Resumen usuario'!$B$12&gt;A64),A64+1,0)</f>
        <v>0</v>
      </c>
      <c r="B70" s="30">
        <f>IF($A$70&gt;1,+B69+1,0)</f>
        <v>0</v>
      </c>
      <c r="C70" s="92">
        <f>IF(A70&gt;0,C64,)</f>
        <v>0</v>
      </c>
      <c r="D70" s="31">
        <f>IF($A$70&gt;0,$D$69+$C$70,)</f>
        <v>0</v>
      </c>
      <c r="E70" s="31">
        <f>+D70*'Resumen usuario'!$B$28</f>
        <v>0</v>
      </c>
      <c r="F70" s="86">
        <f>SUM(E70:E75)</f>
        <v>0</v>
      </c>
      <c r="G70" s="86">
        <f>IF($A$70&gt;0,G64+F70,)</f>
        <v>0</v>
      </c>
      <c r="H70" s="86">
        <f>D75</f>
        <v>0</v>
      </c>
      <c r="I70" s="87">
        <f t="shared" ref="I70" si="35">H70+G70</f>
        <v>0</v>
      </c>
      <c r="J70" s="29"/>
      <c r="K70" s="29"/>
      <c r="L70" s="29"/>
    </row>
    <row r="71" spans="1:12" s="23" customFormat="1" ht="15" customHeight="1" x14ac:dyDescent="0.3">
      <c r="A71" s="91"/>
      <c r="B71" s="30">
        <f t="shared" ref="B71:B75" si="36">IF($A$70&gt;1,+B70+1,0)</f>
        <v>0</v>
      </c>
      <c r="C71" s="92"/>
      <c r="D71" s="31">
        <f t="shared" ref="D71:D74" si="37">IF($A$70&gt;0,$D$69+$C$70,)</f>
        <v>0</v>
      </c>
      <c r="E71" s="31">
        <f>+D71*'Resumen usuario'!$B$28</f>
        <v>0</v>
      </c>
      <c r="F71" s="86"/>
      <c r="G71" s="86"/>
      <c r="H71" s="86"/>
      <c r="I71" s="87"/>
      <c r="J71" s="29"/>
      <c r="K71" s="29"/>
      <c r="L71" s="29"/>
    </row>
    <row r="72" spans="1:12" s="23" customFormat="1" ht="15" customHeight="1" x14ac:dyDescent="0.3">
      <c r="A72" s="91"/>
      <c r="B72" s="30">
        <f t="shared" si="36"/>
        <v>0</v>
      </c>
      <c r="C72" s="92"/>
      <c r="D72" s="31">
        <f t="shared" si="37"/>
        <v>0</v>
      </c>
      <c r="E72" s="31">
        <f>+D72*'Resumen usuario'!$B$28</f>
        <v>0</v>
      </c>
      <c r="F72" s="86"/>
      <c r="G72" s="86"/>
      <c r="H72" s="86"/>
      <c r="I72" s="87"/>
      <c r="J72" s="29"/>
      <c r="K72" s="29"/>
      <c r="L72" s="29"/>
    </row>
    <row r="73" spans="1:12" s="23" customFormat="1" ht="15" customHeight="1" x14ac:dyDescent="0.3">
      <c r="A73" s="91"/>
      <c r="B73" s="30">
        <f t="shared" si="36"/>
        <v>0</v>
      </c>
      <c r="C73" s="92"/>
      <c r="D73" s="31">
        <f t="shared" si="37"/>
        <v>0</v>
      </c>
      <c r="E73" s="31">
        <f>+D73*'Resumen usuario'!$B$28</f>
        <v>0</v>
      </c>
      <c r="F73" s="86"/>
      <c r="G73" s="86"/>
      <c r="H73" s="86"/>
      <c r="I73" s="87"/>
      <c r="J73" s="29"/>
      <c r="K73" s="29"/>
      <c r="L73" s="29"/>
    </row>
    <row r="74" spans="1:12" s="23" customFormat="1" ht="15" customHeight="1" x14ac:dyDescent="0.3">
      <c r="A74" s="91"/>
      <c r="B74" s="30">
        <f t="shared" si="36"/>
        <v>0</v>
      </c>
      <c r="C74" s="92"/>
      <c r="D74" s="31">
        <f t="shared" si="37"/>
        <v>0</v>
      </c>
      <c r="E74" s="31">
        <f>+D74*'Resumen usuario'!$B$28</f>
        <v>0</v>
      </c>
      <c r="F74" s="86"/>
      <c r="G74" s="86"/>
      <c r="H74" s="86"/>
      <c r="I74" s="87"/>
      <c r="J74" s="29"/>
      <c r="K74" s="29"/>
      <c r="L74" s="29"/>
    </row>
    <row r="75" spans="1:12" s="23" customFormat="1" ht="15" customHeight="1" x14ac:dyDescent="0.3">
      <c r="A75" s="91"/>
      <c r="B75" s="30">
        <f t="shared" si="36"/>
        <v>0</v>
      </c>
      <c r="C75" s="92"/>
      <c r="D75" s="31">
        <f>IF($A$70&gt;0,$D$69+$C$70,)</f>
        <v>0</v>
      </c>
      <c r="E75" s="31">
        <f>+D75*'Resumen usuario'!$B$28</f>
        <v>0</v>
      </c>
      <c r="F75" s="86"/>
      <c r="G75" s="86"/>
      <c r="H75" s="86"/>
      <c r="I75" s="87"/>
      <c r="J75" s="29"/>
      <c r="K75" s="29"/>
      <c r="L75" s="29"/>
    </row>
    <row r="76" spans="1:12" ht="24" thickBot="1" x14ac:dyDescent="0.5">
      <c r="A76" s="32" t="s">
        <v>37</v>
      </c>
      <c r="B76" s="33"/>
      <c r="C76" s="34">
        <f>SUM(C4:C75)</f>
        <v>80806689.162856326</v>
      </c>
      <c r="D76" s="35"/>
      <c r="E76" s="34">
        <f>SUM(E4:E75)</f>
        <v>36221785.702013277</v>
      </c>
      <c r="F76" s="34">
        <f>SUM(F4:F75)</f>
        <v>36221785.702013284</v>
      </c>
      <c r="G76" s="34">
        <f>MAX(G4:G75)</f>
        <v>36221785.702013284</v>
      </c>
      <c r="H76" s="34">
        <f>MAX(H4:H75)</f>
        <v>80806689.162856326</v>
      </c>
      <c r="I76" s="36">
        <f>MAX(I4:I75)</f>
        <v>117028474.86486961</v>
      </c>
      <c r="J76" s="29"/>
      <c r="K76" s="29"/>
      <c r="L76" s="29"/>
    </row>
    <row r="77" spans="1:12" x14ac:dyDescent="0.3">
      <c r="C77" s="25"/>
      <c r="D77" s="20"/>
      <c r="E77" s="21"/>
      <c r="F77" s="22"/>
      <c r="G77" s="23"/>
      <c r="H77" s="24"/>
      <c r="I77" s="24"/>
      <c r="J77" s="23"/>
      <c r="K77" s="24"/>
    </row>
    <row r="79" spans="1:12" ht="18.600000000000001" thickBot="1" x14ac:dyDescent="0.35">
      <c r="A79" s="39" t="s">
        <v>38</v>
      </c>
      <c r="B79" s="90" t="s">
        <v>44</v>
      </c>
      <c r="C79" s="90"/>
      <c r="D79" s="90"/>
      <c r="E79" s="90"/>
      <c r="F79" s="90"/>
      <c r="G79" s="90"/>
      <c r="H79" s="90"/>
      <c r="I79" s="90"/>
      <c r="J79" s="90"/>
      <c r="K79" s="90"/>
    </row>
    <row r="80" spans="1:12" ht="43.2" x14ac:dyDescent="0.3">
      <c r="A80" s="28"/>
      <c r="B80" s="38" t="s">
        <v>29</v>
      </c>
      <c r="C80" s="38" t="s">
        <v>39</v>
      </c>
      <c r="D80" s="38" t="s">
        <v>32</v>
      </c>
      <c r="E80" s="38" t="s">
        <v>40</v>
      </c>
      <c r="F80" s="38" t="s">
        <v>63</v>
      </c>
      <c r="G80" s="38" t="s">
        <v>41</v>
      </c>
      <c r="H80" s="38" t="s">
        <v>42</v>
      </c>
      <c r="I80" s="38" t="s">
        <v>43</v>
      </c>
      <c r="J80" s="38" t="s">
        <v>34</v>
      </c>
      <c r="K80" s="38" t="s">
        <v>35</v>
      </c>
    </row>
    <row r="81" spans="2:11" x14ac:dyDescent="0.3">
      <c r="B81" s="30">
        <f>MAX(B4:B75)+1</f>
        <v>61</v>
      </c>
      <c r="C81" s="89">
        <f>$C$76</f>
        <v>80806689.162856326</v>
      </c>
      <c r="D81" s="37">
        <f>+$C$81</f>
        <v>80806689.162856326</v>
      </c>
      <c r="E81" s="37">
        <f>+D81*'Resumen usuario'!$B$28</f>
        <v>1186525.099536102</v>
      </c>
      <c r="F81" s="37">
        <f>+E81</f>
        <v>1186525.099536102</v>
      </c>
      <c r="G81" s="37">
        <f>G76+E81</f>
        <v>37408310.801549383</v>
      </c>
      <c r="H81" s="37">
        <f>+G81+D81</f>
        <v>118214999.96440572</v>
      </c>
      <c r="I81" s="89">
        <f>MAX(H81:H92)</f>
        <v>131266776.05930279</v>
      </c>
      <c r="J81" s="89">
        <f>+SUM(E81:E92)</f>
        <v>14238301.194433225</v>
      </c>
      <c r="K81" s="89">
        <f>MAX(G81:G92)</f>
        <v>50460086.896446466</v>
      </c>
    </row>
    <row r="82" spans="2:11" x14ac:dyDescent="0.3">
      <c r="B82" s="30">
        <f>+B81+1</f>
        <v>62</v>
      </c>
      <c r="C82" s="89"/>
      <c r="D82" s="37">
        <f t="shared" ref="D82:D92" si="38">+$C$81</f>
        <v>80806689.162856326</v>
      </c>
      <c r="E82" s="37">
        <f>+D82*'Resumen usuario'!$B$28</f>
        <v>1186525.099536102</v>
      </c>
      <c r="F82" s="37">
        <f>+E82+F81</f>
        <v>2373050.1990722041</v>
      </c>
      <c r="G82" s="37">
        <f>+G81+E82</f>
        <v>38594835.901085481</v>
      </c>
      <c r="H82" s="37">
        <f t="shared" ref="H82:H92" si="39">+G82+D82</f>
        <v>119401525.06394181</v>
      </c>
      <c r="I82" s="89"/>
      <c r="J82" s="89"/>
      <c r="K82" s="89"/>
    </row>
    <row r="83" spans="2:11" x14ac:dyDescent="0.3">
      <c r="B83" s="30">
        <f>+B82+1</f>
        <v>63</v>
      </c>
      <c r="C83" s="89"/>
      <c r="D83" s="37">
        <f t="shared" si="38"/>
        <v>80806689.162856326</v>
      </c>
      <c r="E83" s="37">
        <f>+D83*'Resumen usuario'!$B$28</f>
        <v>1186525.099536102</v>
      </c>
      <c r="F83" s="37">
        <f t="shared" ref="F83:F92" si="40">+E83+F82</f>
        <v>3559575.2986083059</v>
      </c>
      <c r="G83" s="37">
        <f t="shared" ref="G83:G92" si="41">+G82+E83</f>
        <v>39781361.00062158</v>
      </c>
      <c r="H83" s="37">
        <f t="shared" si="39"/>
        <v>120588050.1634779</v>
      </c>
      <c r="I83" s="89"/>
      <c r="J83" s="89"/>
      <c r="K83" s="89"/>
    </row>
    <row r="84" spans="2:11" x14ac:dyDescent="0.3">
      <c r="B84" s="30">
        <f>+B83+1</f>
        <v>64</v>
      </c>
      <c r="C84" s="89"/>
      <c r="D84" s="37">
        <f t="shared" si="38"/>
        <v>80806689.162856326</v>
      </c>
      <c r="E84" s="37">
        <f>+D84*'Resumen usuario'!$B$28</f>
        <v>1186525.099536102</v>
      </c>
      <c r="F84" s="37">
        <f t="shared" si="40"/>
        <v>4746100.3981444081</v>
      </c>
      <c r="G84" s="37">
        <f t="shared" si="41"/>
        <v>40967886.100157678</v>
      </c>
      <c r="H84" s="37">
        <f t="shared" si="39"/>
        <v>121774575.263014</v>
      </c>
      <c r="I84" s="89"/>
      <c r="J84" s="89"/>
      <c r="K84" s="89"/>
    </row>
    <row r="85" spans="2:11" x14ac:dyDescent="0.3">
      <c r="B85" s="30">
        <f>+B84+1</f>
        <v>65</v>
      </c>
      <c r="C85" s="89"/>
      <c r="D85" s="37">
        <f t="shared" si="38"/>
        <v>80806689.162856326</v>
      </c>
      <c r="E85" s="37">
        <f>+D85*'Resumen usuario'!$B$28</f>
        <v>1186525.099536102</v>
      </c>
      <c r="F85" s="37">
        <f t="shared" si="40"/>
        <v>5932625.4976805104</v>
      </c>
      <c r="G85" s="37">
        <f t="shared" si="41"/>
        <v>42154411.199693777</v>
      </c>
      <c r="H85" s="37">
        <f t="shared" si="39"/>
        <v>122961100.36255011</v>
      </c>
      <c r="I85" s="89"/>
      <c r="J85" s="89"/>
      <c r="K85" s="89"/>
    </row>
    <row r="86" spans="2:11" x14ac:dyDescent="0.3">
      <c r="B86" s="30">
        <f>+B85+1</f>
        <v>66</v>
      </c>
      <c r="C86" s="89"/>
      <c r="D86" s="37">
        <f t="shared" si="38"/>
        <v>80806689.162856326</v>
      </c>
      <c r="E86" s="37">
        <f>+D86*'Resumen usuario'!$B$28</f>
        <v>1186525.099536102</v>
      </c>
      <c r="F86" s="37">
        <f t="shared" si="40"/>
        <v>7119150.5972166127</v>
      </c>
      <c r="G86" s="37">
        <f t="shared" si="41"/>
        <v>43340936.299229875</v>
      </c>
      <c r="H86" s="37">
        <f t="shared" si="39"/>
        <v>124147625.4620862</v>
      </c>
      <c r="I86" s="89"/>
      <c r="J86" s="89"/>
      <c r="K86" s="89"/>
    </row>
    <row r="87" spans="2:11" x14ac:dyDescent="0.3">
      <c r="B87" s="30">
        <f t="shared" ref="B87:B92" si="42">+B86+1</f>
        <v>67</v>
      </c>
      <c r="C87" s="89"/>
      <c r="D87" s="37">
        <f t="shared" si="38"/>
        <v>80806689.162856326</v>
      </c>
      <c r="E87" s="37">
        <f>+D87*'Resumen usuario'!$B$28</f>
        <v>1186525.099536102</v>
      </c>
      <c r="F87" s="37">
        <f t="shared" si="40"/>
        <v>8305675.6967527149</v>
      </c>
      <c r="G87" s="37">
        <f t="shared" si="41"/>
        <v>44527461.398765974</v>
      </c>
      <c r="H87" s="37">
        <f t="shared" si="39"/>
        <v>125334150.56162229</v>
      </c>
      <c r="I87" s="89"/>
      <c r="J87" s="89"/>
      <c r="K87" s="89"/>
    </row>
    <row r="88" spans="2:11" x14ac:dyDescent="0.3">
      <c r="B88" s="30">
        <f t="shared" si="42"/>
        <v>68</v>
      </c>
      <c r="C88" s="89"/>
      <c r="D88" s="37">
        <f t="shared" si="38"/>
        <v>80806689.162856326</v>
      </c>
      <c r="E88" s="37">
        <f>+D88*'Resumen usuario'!$B$28</f>
        <v>1186525.099536102</v>
      </c>
      <c r="F88" s="37">
        <f t="shared" si="40"/>
        <v>9492200.7962888163</v>
      </c>
      <c r="G88" s="37">
        <f t="shared" si="41"/>
        <v>45713986.498302072</v>
      </c>
      <c r="H88" s="37">
        <f t="shared" si="39"/>
        <v>126520675.6611584</v>
      </c>
      <c r="I88" s="89"/>
      <c r="J88" s="89"/>
      <c r="K88" s="89"/>
    </row>
    <row r="89" spans="2:11" x14ac:dyDescent="0.3">
      <c r="B89" s="30">
        <f t="shared" si="42"/>
        <v>69</v>
      </c>
      <c r="C89" s="89"/>
      <c r="D89" s="37">
        <f t="shared" si="38"/>
        <v>80806689.162856326</v>
      </c>
      <c r="E89" s="37">
        <f>+D89*'Resumen usuario'!$B$28</f>
        <v>1186525.099536102</v>
      </c>
      <c r="F89" s="37">
        <f t="shared" si="40"/>
        <v>10678725.895824919</v>
      </c>
      <c r="G89" s="37">
        <f t="shared" si="41"/>
        <v>46900511.597838171</v>
      </c>
      <c r="H89" s="37">
        <f t="shared" si="39"/>
        <v>127707200.7606945</v>
      </c>
      <c r="I89" s="89"/>
      <c r="J89" s="89"/>
      <c r="K89" s="89"/>
    </row>
    <row r="90" spans="2:11" x14ac:dyDescent="0.3">
      <c r="B90" s="30">
        <f t="shared" si="42"/>
        <v>70</v>
      </c>
      <c r="C90" s="89"/>
      <c r="D90" s="37">
        <f t="shared" si="38"/>
        <v>80806689.162856326</v>
      </c>
      <c r="E90" s="37">
        <f>+D90*'Resumen usuario'!$B$28</f>
        <v>1186525.099536102</v>
      </c>
      <c r="F90" s="37">
        <f t="shared" si="40"/>
        <v>11865250.995361021</v>
      </c>
      <c r="G90" s="37">
        <f t="shared" si="41"/>
        <v>48087036.697374269</v>
      </c>
      <c r="H90" s="37">
        <f t="shared" si="39"/>
        <v>128893725.86023059</v>
      </c>
      <c r="I90" s="89"/>
      <c r="J90" s="89"/>
      <c r="K90" s="89"/>
    </row>
    <row r="91" spans="2:11" x14ac:dyDescent="0.3">
      <c r="B91" s="30">
        <f t="shared" si="42"/>
        <v>71</v>
      </c>
      <c r="C91" s="89"/>
      <c r="D91" s="37">
        <f t="shared" si="38"/>
        <v>80806689.162856326</v>
      </c>
      <c r="E91" s="37">
        <f>+D91*'Resumen usuario'!$B$28</f>
        <v>1186525.099536102</v>
      </c>
      <c r="F91" s="37">
        <f t="shared" si="40"/>
        <v>13051776.094897123</v>
      </c>
      <c r="G91" s="37">
        <f t="shared" si="41"/>
        <v>49273561.796910368</v>
      </c>
      <c r="H91" s="37">
        <f t="shared" si="39"/>
        <v>130080250.95976669</v>
      </c>
      <c r="I91" s="89"/>
      <c r="J91" s="89"/>
      <c r="K91" s="89"/>
    </row>
    <row r="92" spans="2:11" x14ac:dyDescent="0.3">
      <c r="B92" s="30">
        <f t="shared" si="42"/>
        <v>72</v>
      </c>
      <c r="C92" s="89"/>
      <c r="D92" s="37">
        <f t="shared" si="38"/>
        <v>80806689.162856326</v>
      </c>
      <c r="E92" s="37">
        <f>+D92*'Resumen usuario'!$B$28</f>
        <v>1186525.099536102</v>
      </c>
      <c r="F92" s="37">
        <f t="shared" si="40"/>
        <v>14238301.194433225</v>
      </c>
      <c r="G92" s="37">
        <f t="shared" si="41"/>
        <v>50460086.896446466</v>
      </c>
      <c r="H92" s="37">
        <f t="shared" si="39"/>
        <v>131266776.05930279</v>
      </c>
      <c r="I92" s="89"/>
      <c r="J92" s="89"/>
      <c r="K92" s="89"/>
    </row>
  </sheetData>
  <sheetProtection algorithmName="SHA-512" hashValue="jD/H5913XraskrFIkqvTq7WWM/hOgSDvTaHMFC+4PC9Y26Kq9Snh67ChxSbuGt33vtqlikOI25NW+Bd8YMA7Nw==" saltValue="sqlUW4XGFMtIslMWj9BHQQ==" spinCount="100000" sheet="1" objects="1" scenarios="1" selectLockedCells="1"/>
  <mergeCells count="82">
    <mergeCell ref="A1:I1"/>
    <mergeCell ref="C10:C15"/>
    <mergeCell ref="A4:A9"/>
    <mergeCell ref="C4:C9"/>
    <mergeCell ref="I16:I21"/>
    <mergeCell ref="F4:F9"/>
    <mergeCell ref="G4:G9"/>
    <mergeCell ref="H4:H9"/>
    <mergeCell ref="A2:A3"/>
    <mergeCell ref="B2:B3"/>
    <mergeCell ref="C2:C3"/>
    <mergeCell ref="I4:I9"/>
    <mergeCell ref="D2:I2"/>
    <mergeCell ref="A22:A27"/>
    <mergeCell ref="C22:C27"/>
    <mergeCell ref="I10:I15"/>
    <mergeCell ref="A16:A21"/>
    <mergeCell ref="C16:C21"/>
    <mergeCell ref="F22:F27"/>
    <mergeCell ref="G22:G27"/>
    <mergeCell ref="H22:H27"/>
    <mergeCell ref="I22:I27"/>
    <mergeCell ref="F16:F21"/>
    <mergeCell ref="G16:G21"/>
    <mergeCell ref="H16:H21"/>
    <mergeCell ref="F10:F15"/>
    <mergeCell ref="G10:G15"/>
    <mergeCell ref="H10:H15"/>
    <mergeCell ref="A10:A15"/>
    <mergeCell ref="A28:A33"/>
    <mergeCell ref="C28:C33"/>
    <mergeCell ref="I34:I39"/>
    <mergeCell ref="A40:A45"/>
    <mergeCell ref="C40:C45"/>
    <mergeCell ref="I28:I33"/>
    <mergeCell ref="A34:A39"/>
    <mergeCell ref="C34:C39"/>
    <mergeCell ref="F28:F33"/>
    <mergeCell ref="G28:G33"/>
    <mergeCell ref="H28:H33"/>
    <mergeCell ref="F34:F39"/>
    <mergeCell ref="G34:G39"/>
    <mergeCell ref="H34:H39"/>
    <mergeCell ref="A64:A69"/>
    <mergeCell ref="A70:A75"/>
    <mergeCell ref="C58:C63"/>
    <mergeCell ref="C64:C69"/>
    <mergeCell ref="C70:C75"/>
    <mergeCell ref="A58:A63"/>
    <mergeCell ref="I46:I51"/>
    <mergeCell ref="A52:A57"/>
    <mergeCell ref="C52:C57"/>
    <mergeCell ref="I40:I45"/>
    <mergeCell ref="A46:A51"/>
    <mergeCell ref="C46:C51"/>
    <mergeCell ref="F40:F45"/>
    <mergeCell ref="G40:G45"/>
    <mergeCell ref="H40:H45"/>
    <mergeCell ref="F46:F51"/>
    <mergeCell ref="G46:G51"/>
    <mergeCell ref="H46:H51"/>
    <mergeCell ref="C81:C92"/>
    <mergeCell ref="I81:I92"/>
    <mergeCell ref="J81:J92"/>
    <mergeCell ref="K81:K92"/>
    <mergeCell ref="B79:K79"/>
    <mergeCell ref="F70:F75"/>
    <mergeCell ref="G70:G75"/>
    <mergeCell ref="H70:H75"/>
    <mergeCell ref="I70:I75"/>
    <mergeCell ref="F52:F57"/>
    <mergeCell ref="G52:G57"/>
    <mergeCell ref="H52:H57"/>
    <mergeCell ref="F58:F63"/>
    <mergeCell ref="G58:G63"/>
    <mergeCell ref="H58:H63"/>
    <mergeCell ref="I58:I63"/>
    <mergeCell ref="F64:F69"/>
    <mergeCell ref="G64:G69"/>
    <mergeCell ref="H64:H69"/>
    <mergeCell ref="I64:I69"/>
    <mergeCell ref="I52:I57"/>
  </mergeCells>
  <pageMargins left="0.7" right="0.7" top="0.75" bottom="0.75" header="0.3" footer="0.3"/>
  <ignoredErrors>
    <ignoredError sqref="G16"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FE347-06B2-41CD-AA6B-2FD13251F854}">
  <dimension ref="B1:P28"/>
  <sheetViews>
    <sheetView zoomScale="69" zoomScaleNormal="69" workbookViewId="0">
      <selection sqref="A1:XFD1048576"/>
    </sheetView>
  </sheetViews>
  <sheetFormatPr baseColWidth="10" defaultRowHeight="14.4" x14ac:dyDescent="0.3"/>
  <cols>
    <col min="2" max="2" width="21.33203125" customWidth="1"/>
    <col min="3" max="3" width="31.44140625" customWidth="1"/>
    <col min="4" max="7" width="26.33203125" customWidth="1"/>
    <col min="8" max="8" width="6.5546875" customWidth="1"/>
    <col min="9" max="9" width="82.44140625" customWidth="1"/>
    <col min="10" max="10" width="76.6640625" customWidth="1"/>
    <col min="11" max="11" width="13.44140625" customWidth="1"/>
    <col min="12" max="12" width="28.33203125" customWidth="1"/>
    <col min="13" max="13" width="39.88671875" customWidth="1"/>
    <col min="14" max="14" width="42.33203125" customWidth="1"/>
    <col min="15" max="15" width="32.5546875" customWidth="1"/>
    <col min="17" max="17" width="72.6640625" customWidth="1"/>
    <col min="18" max="18" width="44.109375" customWidth="1"/>
  </cols>
  <sheetData>
    <row r="1" spans="2:16" ht="72.599999999999994" thickBot="1" x14ac:dyDescent="0.35">
      <c r="B1" s="11" t="s">
        <v>9</v>
      </c>
      <c r="C1" s="12" t="s">
        <v>20</v>
      </c>
      <c r="D1" s="13" t="s">
        <v>7</v>
      </c>
      <c r="E1" s="13" t="s">
        <v>26</v>
      </c>
      <c r="F1" s="13" t="s">
        <v>19</v>
      </c>
      <c r="G1" s="14" t="s">
        <v>14</v>
      </c>
      <c r="I1" s="84" t="s">
        <v>71</v>
      </c>
      <c r="J1" s="85"/>
    </row>
    <row r="2" spans="2:16" ht="18" x14ac:dyDescent="0.3">
      <c r="B2" s="104" t="s">
        <v>5</v>
      </c>
      <c r="C2" s="107" t="s">
        <v>22</v>
      </c>
      <c r="D2" s="3">
        <v>0</v>
      </c>
      <c r="E2" s="3">
        <v>0</v>
      </c>
      <c r="F2" s="3">
        <v>1</v>
      </c>
      <c r="G2" s="58">
        <v>0</v>
      </c>
      <c r="I2" s="44"/>
      <c r="J2" s="45"/>
    </row>
    <row r="3" spans="2:16" ht="18" x14ac:dyDescent="0.3">
      <c r="B3" s="105"/>
      <c r="C3" s="108"/>
      <c r="D3" s="2">
        <v>1</v>
      </c>
      <c r="E3" s="2">
        <v>1</v>
      </c>
      <c r="F3" s="2">
        <v>2</v>
      </c>
      <c r="G3" s="59">
        <v>0.11</v>
      </c>
      <c r="I3" s="47" t="s">
        <v>1</v>
      </c>
      <c r="J3" s="48">
        <f>'Resumen usuario'!E6</f>
        <v>1300000</v>
      </c>
    </row>
    <row r="4" spans="2:16" ht="18" x14ac:dyDescent="0.3">
      <c r="B4" s="105"/>
      <c r="C4" s="108"/>
      <c r="D4" s="2">
        <v>2</v>
      </c>
      <c r="E4" s="2">
        <v>2</v>
      </c>
      <c r="F4" s="2">
        <v>4</v>
      </c>
      <c r="G4" s="59">
        <v>0.16</v>
      </c>
      <c r="I4" s="6" t="s">
        <v>10</v>
      </c>
      <c r="J4" s="7">
        <f>1*$J$3</f>
        <v>1300000</v>
      </c>
    </row>
    <row r="5" spans="2:16" ht="18" x14ac:dyDescent="0.35">
      <c r="B5" s="105"/>
      <c r="C5" s="108"/>
      <c r="D5" s="2">
        <v>3</v>
      </c>
      <c r="E5" s="2">
        <v>4</v>
      </c>
      <c r="F5" s="2">
        <v>8</v>
      </c>
      <c r="G5" s="59">
        <v>0.2</v>
      </c>
      <c r="I5" s="6" t="s">
        <v>11</v>
      </c>
      <c r="J5" s="8">
        <f>2*$J$3</f>
        <v>2600000</v>
      </c>
    </row>
    <row r="6" spans="2:16" ht="18.600000000000001" thickBot="1" x14ac:dyDescent="0.4">
      <c r="B6" s="105"/>
      <c r="C6" s="109"/>
      <c r="D6" s="4">
        <v>4</v>
      </c>
      <c r="E6" s="4">
        <v>8</v>
      </c>
      <c r="F6" s="4"/>
      <c r="G6" s="60">
        <v>0.22</v>
      </c>
      <c r="I6" s="6" t="s">
        <v>12</v>
      </c>
      <c r="J6" s="8">
        <f>4*$J$3</f>
        <v>5200000</v>
      </c>
    </row>
    <row r="7" spans="2:16" ht="18" x14ac:dyDescent="0.35">
      <c r="B7" s="105"/>
      <c r="C7" s="110" t="s">
        <v>27</v>
      </c>
      <c r="D7" s="3">
        <v>0</v>
      </c>
      <c r="E7" s="3">
        <v>0</v>
      </c>
      <c r="F7" s="3">
        <v>1</v>
      </c>
      <c r="G7" s="58">
        <v>0</v>
      </c>
      <c r="I7" s="6" t="s">
        <v>13</v>
      </c>
      <c r="J7" s="8">
        <f>8*$J$3</f>
        <v>10400000</v>
      </c>
    </row>
    <row r="8" spans="2:16" ht="18" x14ac:dyDescent="0.3">
      <c r="B8" s="105"/>
      <c r="C8" s="111"/>
      <c r="D8" s="2">
        <v>1</v>
      </c>
      <c r="E8" s="2">
        <v>1</v>
      </c>
      <c r="F8" s="2">
        <v>2</v>
      </c>
      <c r="G8" s="61">
        <v>0.13</v>
      </c>
      <c r="I8" s="5"/>
      <c r="J8" s="16"/>
    </row>
    <row r="9" spans="2:16" ht="18" x14ac:dyDescent="0.35">
      <c r="B9" s="105"/>
      <c r="C9" s="111"/>
      <c r="D9" s="2">
        <v>2</v>
      </c>
      <c r="E9" s="2">
        <v>2</v>
      </c>
      <c r="F9" s="2">
        <v>4</v>
      </c>
      <c r="G9" s="61">
        <v>0.18</v>
      </c>
      <c r="I9" s="6" t="s">
        <v>70</v>
      </c>
      <c r="J9" s="8">
        <f>SUM('Simulador crédito PEstudios'!C4:C15)</f>
        <v>13000000</v>
      </c>
    </row>
    <row r="10" spans="2:16" ht="18" x14ac:dyDescent="0.3">
      <c r="B10" s="105"/>
      <c r="C10" s="111"/>
      <c r="D10" s="2">
        <v>3</v>
      </c>
      <c r="E10" s="2">
        <v>4</v>
      </c>
      <c r="F10" s="2">
        <v>8</v>
      </c>
      <c r="G10" s="61">
        <v>0.22</v>
      </c>
      <c r="I10" s="6" t="s">
        <v>23</v>
      </c>
      <c r="J10" s="40">
        <f>J9/$J$3</f>
        <v>10</v>
      </c>
    </row>
    <row r="11" spans="2:16" ht="18.600000000000001" thickBot="1" x14ac:dyDescent="0.4">
      <c r="B11" s="106"/>
      <c r="C11" s="112"/>
      <c r="D11" s="4">
        <v>4</v>
      </c>
      <c r="E11" s="4">
        <v>8</v>
      </c>
      <c r="F11" s="4"/>
      <c r="G11" s="62">
        <v>0.24</v>
      </c>
      <c r="I11" s="6" t="s">
        <v>2</v>
      </c>
      <c r="J11" s="43" t="s">
        <v>5</v>
      </c>
      <c r="P11" s="1"/>
    </row>
    <row r="12" spans="2:16" ht="18.75" customHeight="1" x14ac:dyDescent="0.35">
      <c r="B12" s="115" t="s">
        <v>6</v>
      </c>
      <c r="C12" s="118" t="s">
        <v>22</v>
      </c>
      <c r="D12" s="3">
        <v>0</v>
      </c>
      <c r="E12" s="3">
        <v>0</v>
      </c>
      <c r="F12" s="3">
        <v>1</v>
      </c>
      <c r="G12" s="58">
        <v>0</v>
      </c>
      <c r="I12" s="15" t="s">
        <v>21</v>
      </c>
      <c r="J12" s="19" t="str">
        <f>IF(J10&gt;=24,"Si","No")</f>
        <v>No</v>
      </c>
      <c r="P12" s="1"/>
    </row>
    <row r="13" spans="2:16" ht="18" x14ac:dyDescent="0.35">
      <c r="B13" s="116"/>
      <c r="C13" s="119"/>
      <c r="D13" s="2">
        <v>1</v>
      </c>
      <c r="E13" s="2">
        <v>1</v>
      </c>
      <c r="F13" s="2">
        <v>2</v>
      </c>
      <c r="G13" s="59">
        <v>9.5000000000000001E-2</v>
      </c>
      <c r="I13" s="52" t="s">
        <v>20</v>
      </c>
      <c r="J13" s="53" t="str">
        <f>IF(J12="Si","Alto","Estándar")</f>
        <v>Estándar</v>
      </c>
      <c r="P13" s="1"/>
    </row>
    <row r="14" spans="2:16" ht="25.95" customHeight="1" x14ac:dyDescent="0.35">
      <c r="B14" s="116"/>
      <c r="C14" s="119"/>
      <c r="D14" s="2">
        <v>2</v>
      </c>
      <c r="E14" s="2">
        <v>2</v>
      </c>
      <c r="F14" s="2">
        <v>4</v>
      </c>
      <c r="G14" s="59">
        <v>0.15</v>
      </c>
      <c r="I14" s="18"/>
      <c r="J14" s="17"/>
      <c r="P14" s="1"/>
    </row>
    <row r="15" spans="2:16" ht="18" x14ac:dyDescent="0.35">
      <c r="B15" s="116"/>
      <c r="C15" s="119"/>
      <c r="D15" s="2">
        <v>3</v>
      </c>
      <c r="E15" s="2">
        <v>4</v>
      </c>
      <c r="F15" s="2">
        <v>8</v>
      </c>
      <c r="G15" s="59">
        <v>0.18</v>
      </c>
      <c r="I15" s="18"/>
      <c r="J15" s="17"/>
      <c r="P15" s="1"/>
    </row>
    <row r="16" spans="2:16" ht="18.600000000000001" thickBot="1" x14ac:dyDescent="0.4">
      <c r="B16" s="116"/>
      <c r="C16" s="120"/>
      <c r="D16" s="4">
        <v>4</v>
      </c>
      <c r="E16" s="4">
        <v>8</v>
      </c>
      <c r="F16" s="4"/>
      <c r="G16" s="60">
        <v>0.2</v>
      </c>
      <c r="I16" s="6" t="s">
        <v>0</v>
      </c>
      <c r="J16" s="46">
        <f>'Resumen usuario'!$E$8/$J$3</f>
        <v>5.384615384615385</v>
      </c>
      <c r="P16" s="1"/>
    </row>
    <row r="17" spans="2:16" ht="18.75" customHeight="1" x14ac:dyDescent="0.35">
      <c r="B17" s="116"/>
      <c r="C17" s="121" t="s">
        <v>27</v>
      </c>
      <c r="D17" s="3">
        <v>0</v>
      </c>
      <c r="E17" s="3">
        <v>0</v>
      </c>
      <c r="F17" s="3">
        <v>1</v>
      </c>
      <c r="G17" s="58">
        <v>0</v>
      </c>
      <c r="I17" s="6" t="s">
        <v>4</v>
      </c>
      <c r="J17" s="41">
        <f>IF(AND($J$16&gt;$E$3,$J$16&lt;=$F$3),1,IF(AND($J$16&gt;$E$4,$J$16&lt;=$F$4),2,IF(AND($J$16&gt;$E$5,$J$16&lt;=$F$5),3,IF($J$16&gt;$E$6,4,0))))</f>
        <v>3</v>
      </c>
      <c r="P17" s="1"/>
    </row>
    <row r="18" spans="2:16" ht="19.95" customHeight="1" x14ac:dyDescent="0.35">
      <c r="B18" s="116"/>
      <c r="C18" s="122"/>
      <c r="D18" s="2">
        <v>1</v>
      </c>
      <c r="E18" s="2">
        <v>1</v>
      </c>
      <c r="F18" s="2">
        <v>2</v>
      </c>
      <c r="G18" s="61">
        <v>0.115</v>
      </c>
      <c r="I18" s="9"/>
      <c r="J18" s="41"/>
      <c r="P18" s="1"/>
    </row>
    <row r="19" spans="2:16" ht="18.75" customHeight="1" x14ac:dyDescent="0.35">
      <c r="B19" s="116"/>
      <c r="C19" s="122"/>
      <c r="D19" s="2">
        <v>2</v>
      </c>
      <c r="E19" s="2">
        <v>2</v>
      </c>
      <c r="F19" s="2">
        <v>4</v>
      </c>
      <c r="G19" s="61">
        <v>0.17</v>
      </c>
      <c r="I19" s="6" t="s">
        <v>8</v>
      </c>
      <c r="J19" s="41"/>
      <c r="P19" s="1"/>
    </row>
    <row r="20" spans="2:16" ht="18" x14ac:dyDescent="0.35">
      <c r="B20" s="116"/>
      <c r="C20" s="122"/>
      <c r="D20" s="2">
        <v>3</v>
      </c>
      <c r="E20" s="2">
        <v>4</v>
      </c>
      <c r="F20" s="2">
        <v>8</v>
      </c>
      <c r="G20" s="61">
        <v>0.2</v>
      </c>
      <c r="I20" s="10" t="s">
        <v>15</v>
      </c>
      <c r="J20" s="42">
        <f>IF(AND($J$11="Dependiente",$J$13="Estándar",$J$17&gt;=1),$G$3,IF(AND($J$11="Dependiente",$J$13="Alto",$J$17&gt;=1),$G$8,IF(AND($J$11="Independiente",$J$13="Estándar",$J$17&gt;=1),$G$13,IF(AND($J$11="Independiente",$J$13="Alto",$J$17&gt;=1),$G$18,0))))</f>
        <v>0.11</v>
      </c>
      <c r="P20" s="1"/>
    </row>
    <row r="21" spans="2:16" ht="18.600000000000001" thickBot="1" x14ac:dyDescent="0.4">
      <c r="B21" s="117"/>
      <c r="C21" s="123"/>
      <c r="D21" s="4">
        <v>4</v>
      </c>
      <c r="E21" s="4">
        <v>8</v>
      </c>
      <c r="F21" s="4"/>
      <c r="G21" s="62">
        <v>0.22</v>
      </c>
      <c r="I21" s="6" t="s">
        <v>16</v>
      </c>
      <c r="J21" s="42">
        <f>IF(AND($J$11="Dependiente",$J$13="Estándar",$J$17&gt;=2),$G$4,IF(AND($J$11="Dependiente",$J$13="Alto",$J$17&gt;=2),$G$9,IF(AND($J$11="Independiente",$J$13="Estándar",$J$17&gt;=2),$G$14,IF(AND($J$11="Independiente",$J$13="Alto",$J$17&gt;=2),$G$19,0))))</f>
        <v>0.16</v>
      </c>
      <c r="P21" s="1"/>
    </row>
    <row r="22" spans="2:16" ht="18.600000000000001" thickBot="1" x14ac:dyDescent="0.4">
      <c r="B22" s="124" t="s">
        <v>76</v>
      </c>
      <c r="C22" s="125"/>
      <c r="D22" s="125"/>
      <c r="E22" s="125"/>
      <c r="F22" s="125"/>
      <c r="G22" s="126"/>
      <c r="I22" s="6" t="s">
        <v>17</v>
      </c>
      <c r="J22" s="42">
        <f>IF(AND($J$11="Dependiente",$J$13="Estándar",$J$17&gt;=3),$G$5,IF(AND($J$11="Dependiente",$J$13="Alto",$J$17&gt;=3),$G$10,IF(AND($J$11="Independiente",$J$13="Estándar",$J$17&gt;=3),$G$15,IF(AND($J$11="Independiente",$J$13="Alto",$J$17&gt;=3),$G$20,0))))</f>
        <v>0.2</v>
      </c>
      <c r="P22" s="1"/>
    </row>
    <row r="23" spans="2:16" ht="18" x14ac:dyDescent="0.35">
      <c r="I23" s="6" t="s">
        <v>18</v>
      </c>
      <c r="J23" s="42">
        <f>IF(AND($J$11="Dependiente",$J$13="Estándar",$J$17&gt;=4),$G$6,IF(AND($J$11="Dependiente",$J$13="Alto",$J$17&gt;=4),$G$11,IF(AND($J$11="Independiente",$J$13="Estándar",$J$17&gt;=4),$G$16,IF(AND($J$11="Independiente",$J$13="Alto",$J$17&gt;=4),$G$21,0))))</f>
        <v>0</v>
      </c>
      <c r="P23" s="1"/>
    </row>
    <row r="24" spans="2:16" ht="18" x14ac:dyDescent="0.35">
      <c r="I24" s="9"/>
      <c r="J24" s="41"/>
      <c r="P24" s="1"/>
    </row>
    <row r="25" spans="2:16" ht="18.600000000000001" customHeight="1" x14ac:dyDescent="0.35">
      <c r="I25" s="49" t="s">
        <v>3</v>
      </c>
      <c r="J25" s="50">
        <f>IF(AND($J$20&gt;0,$J$21=0),('Resumen usuario'!$E$8-$J$4)*$J$20,IF(AND($J$20&gt;0,$J$21&gt;0,$J$22=0),(($J$4*$J$20)+('Resumen usuario'!$E$8-$J$5)*$J$21),IF(AND($J$20&gt;0,$J$21&gt;0,$J$22&gt;0,$J$23=0),(($J$4*$J$20)+($J$5*$J$21)+('Resumen usuario'!$E$8-$J$6)*$J$22),IF(AND($J$20&gt;0,$J$21&gt;0,$J$22&gt;0,$J$23&gt;0),(($J$4*$J$20)+($J$5*$J$21)+($J$6*$J$22)+('Resumen usuario'!$E$8-$J$7)*$J$23),"No paga cuota"))))</f>
        <v>919000</v>
      </c>
      <c r="L25" s="1"/>
      <c r="M25" s="1"/>
      <c r="N25" s="1"/>
      <c r="O25" s="1"/>
      <c r="P25" s="1"/>
    </row>
    <row r="26" spans="2:16" ht="23.4" x14ac:dyDescent="0.35">
      <c r="I26" s="49" t="s">
        <v>25</v>
      </c>
      <c r="J26" s="51">
        <f>IF(J25="No paga cuota",0,($J$25/'Resumen usuario'!$E$8))</f>
        <v>0.13128571428571428</v>
      </c>
      <c r="P26" s="1"/>
    </row>
    <row r="27" spans="2:16" ht="126.75" customHeight="1" thickBot="1" x14ac:dyDescent="0.35">
      <c r="I27" s="113" t="s">
        <v>24</v>
      </c>
      <c r="J27" s="114"/>
    </row>
    <row r="28" spans="2:16" ht="15" customHeight="1" x14ac:dyDescent="0.3"/>
  </sheetData>
  <sheetProtection algorithmName="SHA-512" hashValue="NSxAlMSvOaJpFySSJNjfbHObVAJ+ON3VDJb2VP/olKYIUQWc7B0zvqVzGpTR16OSBoy7ACpviGI++lCDktzhUA==" saltValue="GHZsB/0xsUnkHbOhprkrmA==" spinCount="100000" sheet="1" objects="1" scenarios="1" selectLockedCells="1"/>
  <mergeCells count="9">
    <mergeCell ref="I1:J1"/>
    <mergeCell ref="B2:B11"/>
    <mergeCell ref="C2:C6"/>
    <mergeCell ref="C7:C11"/>
    <mergeCell ref="I27:J27"/>
    <mergeCell ref="B12:B21"/>
    <mergeCell ref="C12:C16"/>
    <mergeCell ref="C17:C21"/>
    <mergeCell ref="B22:G2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Hojas de cálculo</vt:lpstr>
      </vt:variant>
      <vt:variant>
        <vt:i4>3</vt:i4>
      </vt:variant>
      <vt:variant>
        <vt:lpstr>Rangos con nombre</vt:lpstr>
      </vt:variant>
      <vt:variant>
        <vt:i4>1</vt:i4>
      </vt:variant>
    </vt:vector>
  </HeadingPairs>
  <TitlesOfParts>
    <vt:vector baseType="lpstr" size="4">
      <vt:lpstr>Resumen usuario</vt:lpstr>
      <vt:lpstr>Simulador crédito PEstudios</vt:lpstr>
      <vt:lpstr>Simulador cuota PCI </vt:lpstr>
      <vt:lpstr>'Resumen usuario'!Área_de_impresión</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