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245" firstSheet="2" activeTab="5"/>
  </bookViews>
  <sheets>
    <sheet name="Recurso Humano" sheetId="1" r:id="rId1"/>
    <sheet name="Insumos Aseo Cafetería" sheetId="2" r:id="rId2"/>
    <sheet name="Equipos y Elementos Mínimos" sheetId="7" r:id="rId3"/>
    <sheet name="Servicio Fumigación" sheetId="3" r:id="rId4"/>
    <sheet name="Lavada Vidrios" sheetId="5" r:id="rId5"/>
    <sheet name="VLR TOTAL PROPUESTA" sheetId="6" r:id="rId6"/>
  </sheets>
  <calcPr calcId="145621"/>
</workbook>
</file>

<file path=xl/calcChain.xml><?xml version="1.0" encoding="utf-8"?>
<calcChain xmlns="http://schemas.openxmlformats.org/spreadsheetml/2006/main">
  <c r="F19" i="6" l="1"/>
  <c r="F29" i="6"/>
  <c r="F9" i="6"/>
  <c r="F22" i="6" s="1"/>
  <c r="C9" i="2"/>
  <c r="D9" i="2"/>
  <c r="B9" i="2"/>
  <c r="J89" i="1"/>
  <c r="J88" i="1"/>
  <c r="J87" i="1"/>
  <c r="E7" i="2"/>
  <c r="D8" i="5"/>
  <c r="G8" i="5"/>
  <c r="K8" i="5" s="1"/>
  <c r="L8" i="5" s="1"/>
  <c r="L3" i="5"/>
  <c r="M3" i="5" s="1"/>
  <c r="H3" i="5"/>
  <c r="I3" i="5" s="1"/>
  <c r="D3" i="5"/>
  <c r="E3" i="5" s="1"/>
  <c r="J5" i="5" l="1"/>
  <c r="X61" i="7" l="1"/>
  <c r="AG37" i="7"/>
  <c r="D22" i="7"/>
  <c r="E22" i="7" s="1"/>
  <c r="AB21" i="7"/>
  <c r="AC21" i="7" s="1"/>
  <c r="Y21" i="7"/>
  <c r="T21" i="7"/>
  <c r="U21" i="7" s="1"/>
  <c r="P21" i="7"/>
  <c r="Q21" i="7" s="1"/>
  <c r="L21" i="7"/>
  <c r="M21" i="7" s="1"/>
  <c r="H21" i="7"/>
  <c r="I21" i="7" s="1"/>
  <c r="D21" i="7"/>
  <c r="E21" i="7" s="1"/>
  <c r="D20" i="7"/>
  <c r="E20" i="7" s="1"/>
  <c r="D19" i="7"/>
  <c r="E19" i="7" s="1"/>
  <c r="AB18" i="7"/>
  <c r="AC18" i="7" s="1"/>
  <c r="Y18" i="7"/>
  <c r="U18" i="7"/>
  <c r="T18" i="7"/>
  <c r="P18" i="7"/>
  <c r="Q18" i="7" s="1"/>
  <c r="L18" i="7"/>
  <c r="M18" i="7" s="1"/>
  <c r="H18" i="7"/>
  <c r="I18" i="7" s="1"/>
  <c r="E18" i="7"/>
  <c r="D18" i="7"/>
  <c r="D17" i="7"/>
  <c r="E17" i="7" s="1"/>
  <c r="D16" i="7"/>
  <c r="E16" i="7" s="1"/>
  <c r="D15" i="7"/>
  <c r="E15" i="7" s="1"/>
  <c r="D14" i="7"/>
  <c r="E14" i="7" s="1"/>
  <c r="D13" i="7"/>
  <c r="E13" i="7" s="1"/>
  <c r="T12" i="7"/>
  <c r="U12" i="7" s="1"/>
  <c r="L12" i="7"/>
  <c r="M12" i="7" s="1"/>
  <c r="H12" i="7"/>
  <c r="I12" i="7" s="1"/>
  <c r="D12" i="7"/>
  <c r="E12" i="7" s="1"/>
  <c r="T11" i="7"/>
  <c r="U11" i="7" s="1"/>
  <c r="P11" i="7"/>
  <c r="Q11" i="7" s="1"/>
  <c r="M11" i="7"/>
  <c r="L11" i="7"/>
  <c r="H11" i="7"/>
  <c r="I11" i="7" s="1"/>
  <c r="D11" i="7"/>
  <c r="E11" i="7" s="1"/>
  <c r="D10" i="7"/>
  <c r="E10" i="7" s="1"/>
  <c r="AB9" i="7"/>
  <c r="AC9" i="7" s="1"/>
  <c r="Y9" i="7"/>
  <c r="T9" i="7"/>
  <c r="U9" i="7" s="1"/>
  <c r="P9" i="7"/>
  <c r="Q9" i="7" s="1"/>
  <c r="L9" i="7"/>
  <c r="M9" i="7" s="1"/>
  <c r="H9" i="7"/>
  <c r="I9" i="7" s="1"/>
  <c r="D9" i="7"/>
  <c r="E9" i="7" s="1"/>
  <c r="AB8" i="7"/>
  <c r="AC8" i="7" s="1"/>
  <c r="Y8" i="7"/>
  <c r="T8" i="7"/>
  <c r="U8" i="7" s="1"/>
  <c r="P8" i="7"/>
  <c r="Q8" i="7" s="1"/>
  <c r="L8" i="7"/>
  <c r="M8" i="7" s="1"/>
  <c r="H8" i="7"/>
  <c r="I8" i="7" s="1"/>
  <c r="E8" i="7"/>
  <c r="D8" i="7"/>
  <c r="D7" i="7"/>
  <c r="E7" i="7" s="1"/>
  <c r="D6" i="7"/>
  <c r="E6" i="7" s="1"/>
  <c r="D5" i="7"/>
  <c r="E5" i="7" s="1"/>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E6" i="2"/>
  <c r="E5" i="2"/>
  <c r="E3" i="2"/>
  <c r="C13" i="2" s="1"/>
  <c r="K84" i="1"/>
  <c r="K78" i="1"/>
  <c r="K81" i="1"/>
  <c r="K72" i="1"/>
  <c r="K62" i="1"/>
  <c r="K60" i="1"/>
  <c r="K36" i="1"/>
  <c r="K48" i="1"/>
  <c r="K50" i="1"/>
  <c r="K24" i="1"/>
  <c r="M61" i="7" l="1"/>
  <c r="M62" i="7" s="1"/>
  <c r="Y61" i="7"/>
  <c r="E61" i="7"/>
  <c r="E23" i="7"/>
  <c r="M65" i="7"/>
  <c r="Y62" i="7"/>
  <c r="Y65" i="7"/>
  <c r="Q23" i="7"/>
  <c r="Q61" i="7"/>
  <c r="AC61" i="7"/>
  <c r="AC23" i="7"/>
  <c r="I61" i="7"/>
  <c r="I23" i="7"/>
  <c r="U61" i="7"/>
  <c r="U23" i="7"/>
  <c r="Y23" i="7"/>
  <c r="M23" i="7"/>
  <c r="E2" i="2"/>
  <c r="D4" i="2"/>
  <c r="C4" i="2"/>
  <c r="B4" i="2"/>
  <c r="M8" i="5"/>
  <c r="H8" i="5"/>
  <c r="I8" i="5" s="1"/>
  <c r="J13" i="5" s="1"/>
  <c r="N13" i="5" s="1"/>
  <c r="E8" i="5"/>
  <c r="K46" i="3"/>
  <c r="Q19" i="3"/>
  <c r="Q43" i="3"/>
  <c r="Q33" i="3"/>
  <c r="Q15" i="3"/>
  <c r="Q8" i="3"/>
  <c r="Q17" i="3"/>
  <c r="Q5" i="3"/>
  <c r="Q6" i="3"/>
  <c r="Q7" i="3"/>
  <c r="Q9" i="3"/>
  <c r="Q10" i="3"/>
  <c r="Q11" i="3"/>
  <c r="Q12" i="3"/>
  <c r="Q13" i="3"/>
  <c r="Q14" i="3"/>
  <c r="Q16" i="3"/>
  <c r="Q18" i="3"/>
  <c r="Q20" i="3"/>
  <c r="Q21" i="3"/>
  <c r="Q22" i="3"/>
  <c r="Q23" i="3"/>
  <c r="Q24" i="3"/>
  <c r="Q25" i="3"/>
  <c r="Q26" i="3"/>
  <c r="Q27" i="3"/>
  <c r="Q28" i="3"/>
  <c r="Q29" i="3"/>
  <c r="Q30" i="3"/>
  <c r="Q31" i="3"/>
  <c r="Q32" i="3"/>
  <c r="Q34" i="3"/>
  <c r="Q35" i="3"/>
  <c r="Q36" i="3"/>
  <c r="Q37" i="3"/>
  <c r="Q38" i="3"/>
  <c r="Q39" i="3"/>
  <c r="Q40" i="3"/>
  <c r="Q41" i="3"/>
  <c r="Q42" i="3"/>
  <c r="Q4" i="3"/>
  <c r="M4" i="3"/>
  <c r="M44" i="3" s="1"/>
  <c r="I43" i="3"/>
  <c r="I35" i="3"/>
  <c r="I36" i="3"/>
  <c r="I37" i="3"/>
  <c r="I38" i="3"/>
  <c r="I39" i="3"/>
  <c r="I40" i="3"/>
  <c r="I41" i="3"/>
  <c r="I42" i="3"/>
  <c r="I34" i="3"/>
  <c r="I33" i="3"/>
  <c r="H43" i="3"/>
  <c r="H42" i="3"/>
  <c r="H41" i="3"/>
  <c r="H40" i="3"/>
  <c r="H39" i="3"/>
  <c r="H38" i="3"/>
  <c r="H37" i="3"/>
  <c r="H36" i="3"/>
  <c r="H35" i="3"/>
  <c r="H34" i="3"/>
  <c r="H33" i="3"/>
  <c r="H32" i="3"/>
  <c r="I32" i="3"/>
  <c r="I31" i="3"/>
  <c r="H31" i="3"/>
  <c r="I19" i="3"/>
  <c r="I17" i="3"/>
  <c r="I15" i="3"/>
  <c r="I8" i="3"/>
  <c r="H6" i="3"/>
  <c r="I6" i="3"/>
  <c r="H7" i="3"/>
  <c r="I7" i="3"/>
  <c r="H9" i="3"/>
  <c r="I9" i="3"/>
  <c r="H10" i="3"/>
  <c r="I10" i="3"/>
  <c r="H11" i="3"/>
  <c r="I11" i="3"/>
  <c r="H12" i="3"/>
  <c r="I12" i="3"/>
  <c r="H13" i="3"/>
  <c r="I13" i="3"/>
  <c r="H14" i="3"/>
  <c r="I14" i="3"/>
  <c r="H16" i="3"/>
  <c r="I16" i="3"/>
  <c r="H17" i="3"/>
  <c r="H18" i="3"/>
  <c r="I18" i="3"/>
  <c r="H19" i="3"/>
  <c r="H20" i="3"/>
  <c r="I20" i="3"/>
  <c r="H21" i="3"/>
  <c r="I21" i="3"/>
  <c r="H22" i="3"/>
  <c r="I22" i="3"/>
  <c r="H23" i="3"/>
  <c r="I23" i="3"/>
  <c r="H24" i="3"/>
  <c r="I24" i="3"/>
  <c r="H25" i="3"/>
  <c r="I25" i="3"/>
  <c r="H26" i="3"/>
  <c r="I26" i="3"/>
  <c r="H27" i="3"/>
  <c r="I27" i="3"/>
  <c r="H28" i="3"/>
  <c r="I28" i="3"/>
  <c r="H29" i="3"/>
  <c r="I29" i="3"/>
  <c r="H30" i="3"/>
  <c r="I30" i="3"/>
  <c r="H5" i="3"/>
  <c r="I5" i="3"/>
  <c r="I4" i="3"/>
  <c r="H4" i="3"/>
  <c r="P83" i="1"/>
  <c r="M83" i="1" s="1"/>
  <c r="P82" i="1"/>
  <c r="Q82" i="1" s="1"/>
  <c r="R82" i="1" s="1"/>
  <c r="H82" i="1" s="1"/>
  <c r="N82" i="1"/>
  <c r="M80" i="1"/>
  <c r="N80" i="1" s="1"/>
  <c r="M79" i="1"/>
  <c r="N79" i="1" s="1"/>
  <c r="H79" i="1" s="1"/>
  <c r="H76" i="1"/>
  <c r="E73" i="1"/>
  <c r="F73" i="1" s="1"/>
  <c r="G73" i="1" s="1"/>
  <c r="E68" i="1"/>
  <c r="E67" i="1"/>
  <c r="E66" i="1"/>
  <c r="F66" i="1" s="1"/>
  <c r="F64" i="1"/>
  <c r="G64" i="1" s="1"/>
  <c r="F63" i="1"/>
  <c r="E65" i="1"/>
  <c r="E69" i="1" s="1"/>
  <c r="F69" i="1" s="1"/>
  <c r="E61" i="1"/>
  <c r="F61" i="1" s="1"/>
  <c r="G61" i="1" s="1"/>
  <c r="E56" i="1"/>
  <c r="F56" i="1" s="1"/>
  <c r="G56" i="1" s="1"/>
  <c r="E55" i="1"/>
  <c r="F55" i="1" s="1"/>
  <c r="G55" i="1" s="1"/>
  <c r="E54" i="1"/>
  <c r="F54" i="1" s="1"/>
  <c r="G54" i="1" s="1"/>
  <c r="E53" i="1"/>
  <c r="E59" i="1" s="1"/>
  <c r="F52" i="1"/>
  <c r="G52" i="1" s="1"/>
  <c r="F51" i="1"/>
  <c r="G51" i="1" s="1"/>
  <c r="E49" i="1"/>
  <c r="E44" i="1"/>
  <c r="F44" i="1" s="1"/>
  <c r="G44" i="1" s="1"/>
  <c r="E43" i="1"/>
  <c r="E42" i="1"/>
  <c r="F42" i="1" s="1"/>
  <c r="F39" i="1"/>
  <c r="G39" i="1"/>
  <c r="H39" i="1" s="1"/>
  <c r="K39" i="1" s="1"/>
  <c r="F40" i="1"/>
  <c r="G40" i="1" s="1"/>
  <c r="E41" i="1"/>
  <c r="E47" i="1" s="1"/>
  <c r="F47" i="1" s="1"/>
  <c r="F38" i="1"/>
  <c r="E38" i="1"/>
  <c r="H37" i="1"/>
  <c r="K37" i="1" s="1"/>
  <c r="H35" i="1"/>
  <c r="K35" i="1" s="1"/>
  <c r="H34" i="1"/>
  <c r="K34" i="1" s="1"/>
  <c r="H33" i="1"/>
  <c r="K33" i="1" s="1"/>
  <c r="H32" i="1"/>
  <c r="K32" i="1" s="1"/>
  <c r="H31" i="1"/>
  <c r="K31" i="1" s="1"/>
  <c r="H30" i="1"/>
  <c r="K30" i="1" s="1"/>
  <c r="H29" i="1"/>
  <c r="K29" i="1" s="1"/>
  <c r="H28" i="1"/>
  <c r="K28" i="1" s="1"/>
  <c r="H27" i="1"/>
  <c r="H25" i="1"/>
  <c r="K25" i="1" s="1"/>
  <c r="E25" i="1"/>
  <c r="F25" i="1" s="1"/>
  <c r="G25" i="1" s="1"/>
  <c r="K82" i="1" l="1"/>
  <c r="K79" i="1"/>
  <c r="K76" i="1"/>
  <c r="K27" i="1"/>
  <c r="N38" i="1"/>
  <c r="E4" i="2"/>
  <c r="C11" i="2" s="1"/>
  <c r="E12" i="2" s="1"/>
  <c r="I65" i="7"/>
  <c r="I62" i="7"/>
  <c r="M66" i="7"/>
  <c r="M69" i="7"/>
  <c r="M70" i="7" s="1"/>
  <c r="Y69" i="7"/>
  <c r="Y70" i="7" s="1"/>
  <c r="Y66" i="7"/>
  <c r="AD23" i="7"/>
  <c r="U65" i="7"/>
  <c r="U62" i="7"/>
  <c r="AC65" i="7"/>
  <c r="AC62" i="7"/>
  <c r="E65" i="7"/>
  <c r="E62" i="7"/>
  <c r="Q65" i="7"/>
  <c r="Q62" i="7"/>
  <c r="F49" i="1"/>
  <c r="G49" i="1" s="1"/>
  <c r="H49" i="1"/>
  <c r="K49" i="1" s="1"/>
  <c r="H38" i="1"/>
  <c r="K38" i="1" s="1"/>
  <c r="G41" i="1"/>
  <c r="F41" i="1"/>
  <c r="H41" i="1" s="1"/>
  <c r="K41" i="1" s="1"/>
  <c r="H64" i="1"/>
  <c r="K64" i="1" s="1"/>
  <c r="E71" i="1"/>
  <c r="F71" i="1" s="1"/>
  <c r="G71" i="1" s="1"/>
  <c r="H71" i="1" s="1"/>
  <c r="K71" i="1" s="1"/>
  <c r="G63" i="1"/>
  <c r="H63" i="1" s="1"/>
  <c r="K63" i="1" s="1"/>
  <c r="G53" i="1"/>
  <c r="F65" i="1"/>
  <c r="G65" i="1" s="1"/>
  <c r="G69" i="1"/>
  <c r="H69" i="1" s="1"/>
  <c r="K69" i="1" s="1"/>
  <c r="N83" i="1"/>
  <c r="H83" i="1" s="1"/>
  <c r="K83" i="1" s="1"/>
  <c r="G66" i="1"/>
  <c r="G47" i="1"/>
  <c r="H47" i="1" s="1"/>
  <c r="K47" i="1" s="1"/>
  <c r="E45" i="1"/>
  <c r="F45" i="1" s="1"/>
  <c r="E70" i="1"/>
  <c r="F70" i="1" s="1"/>
  <c r="G70" i="1" s="1"/>
  <c r="H70" i="1" s="1"/>
  <c r="K70" i="1" s="1"/>
  <c r="F67" i="1"/>
  <c r="G67" i="1" s="1"/>
  <c r="H67" i="1" s="1"/>
  <c r="K67" i="1" s="1"/>
  <c r="H80" i="1"/>
  <c r="K80" i="1" s="1"/>
  <c r="H40" i="1"/>
  <c r="K40" i="1" s="1"/>
  <c r="E46" i="1"/>
  <c r="F46" i="1" s="1"/>
  <c r="G46" i="1" s="1"/>
  <c r="H46" i="1" s="1"/>
  <c r="K46" i="1" s="1"/>
  <c r="F43" i="1"/>
  <c r="G43" i="1" s="1"/>
  <c r="G42" i="1"/>
  <c r="H42" i="1" s="1"/>
  <c r="K42" i="1" s="1"/>
  <c r="F68" i="1"/>
  <c r="G68" i="1" s="1"/>
  <c r="H73" i="1"/>
  <c r="K73" i="1" s="1"/>
  <c r="H66" i="1"/>
  <c r="K66" i="1" s="1"/>
  <c r="F59" i="1"/>
  <c r="G59" i="1" s="1"/>
  <c r="H52" i="1"/>
  <c r="K52" i="1" s="1"/>
  <c r="H54" i="1"/>
  <c r="K54" i="1" s="1"/>
  <c r="H55" i="1"/>
  <c r="K55" i="1" s="1"/>
  <c r="H56" i="1"/>
  <c r="K56" i="1" s="1"/>
  <c r="H61" i="1"/>
  <c r="K61" i="1" s="1"/>
  <c r="H51" i="1"/>
  <c r="K51" i="1" s="1"/>
  <c r="E57" i="1"/>
  <c r="E58" i="1"/>
  <c r="F53" i="1"/>
  <c r="H44" i="1"/>
  <c r="K44" i="1" s="1"/>
  <c r="H43" i="1"/>
  <c r="K43" i="1" s="1"/>
  <c r="H23" i="1"/>
  <c r="K23" i="1" s="1"/>
  <c r="E23" i="1"/>
  <c r="F23" i="1" s="1"/>
  <c r="G23" i="1" s="1"/>
  <c r="H22" i="1"/>
  <c r="K22" i="1" s="1"/>
  <c r="H89" i="1" l="1"/>
  <c r="H88" i="1"/>
  <c r="I25" i="7"/>
  <c r="M25" i="7" s="1"/>
  <c r="E25" i="7"/>
  <c r="Q27" i="7" s="1"/>
  <c r="Q69" i="7"/>
  <c r="Q70" i="7" s="1"/>
  <c r="Q66" i="7"/>
  <c r="AC69" i="7"/>
  <c r="AC70" i="7" s="1"/>
  <c r="AC66" i="7"/>
  <c r="AD62" i="7"/>
  <c r="I69" i="7"/>
  <c r="I70" i="7" s="1"/>
  <c r="I66" i="7"/>
  <c r="E69" i="7"/>
  <c r="E70" i="7" s="1"/>
  <c r="E66" i="7"/>
  <c r="U69" i="7"/>
  <c r="U70" i="7" s="1"/>
  <c r="U66" i="7"/>
  <c r="H68" i="1"/>
  <c r="K68" i="1" s="1"/>
  <c r="N74" i="1"/>
  <c r="H65" i="1"/>
  <c r="K65" i="1" s="1"/>
  <c r="H53" i="1"/>
  <c r="K53" i="1" s="1"/>
  <c r="F50" i="1"/>
  <c r="G50" i="1" s="1"/>
  <c r="F74" i="1"/>
  <c r="E74" i="1"/>
  <c r="G74" i="1"/>
  <c r="G45" i="1"/>
  <c r="H45" i="1" s="1"/>
  <c r="E50" i="1"/>
  <c r="H59" i="1"/>
  <c r="K59" i="1" s="1"/>
  <c r="F58" i="1"/>
  <c r="G58" i="1" s="1"/>
  <c r="F57" i="1"/>
  <c r="E62" i="1"/>
  <c r="H21" i="1"/>
  <c r="K21" i="1" s="1"/>
  <c r="H20" i="1"/>
  <c r="K20" i="1" s="1"/>
  <c r="H19" i="1"/>
  <c r="K19" i="1" s="1"/>
  <c r="H18" i="1"/>
  <c r="K18" i="1" s="1"/>
  <c r="F19" i="1"/>
  <c r="G19" i="1"/>
  <c r="F20" i="1"/>
  <c r="G20" i="1"/>
  <c r="G18" i="1"/>
  <c r="F18" i="1"/>
  <c r="H17" i="1"/>
  <c r="K17" i="1" s="1"/>
  <c r="H15" i="1"/>
  <c r="F16" i="1"/>
  <c r="G16" i="1" s="1"/>
  <c r="E15" i="1"/>
  <c r="E17" i="1" s="1"/>
  <c r="F10" i="1"/>
  <c r="G10" i="1" s="1"/>
  <c r="E13" i="1"/>
  <c r="E9" i="1"/>
  <c r="E20" i="1" s="1"/>
  <c r="E8" i="1"/>
  <c r="E19" i="1" s="1"/>
  <c r="E7" i="1"/>
  <c r="E18" i="1" s="1"/>
  <c r="F5" i="1"/>
  <c r="G5" i="1" s="1"/>
  <c r="E6" i="1"/>
  <c r="F6" i="1" s="1"/>
  <c r="F4" i="1"/>
  <c r="H4" i="1" s="1"/>
  <c r="AD66" i="7" l="1"/>
  <c r="H74" i="1"/>
  <c r="K74" i="1" s="1"/>
  <c r="N50" i="1"/>
  <c r="K45" i="1"/>
  <c r="N26" i="1"/>
  <c r="K15" i="1"/>
  <c r="K4" i="1"/>
  <c r="AD70" i="7"/>
  <c r="AD72" i="7" s="1"/>
  <c r="H7" i="1"/>
  <c r="K7" i="1" s="1"/>
  <c r="H5" i="1"/>
  <c r="K5" i="1" s="1"/>
  <c r="H16" i="1"/>
  <c r="K16" i="1" s="1"/>
  <c r="F17" i="1"/>
  <c r="G17" i="1" s="1"/>
  <c r="E22" i="1"/>
  <c r="F22" i="1" s="1"/>
  <c r="G22" i="1" s="1"/>
  <c r="E21" i="1"/>
  <c r="F21" i="1" s="1"/>
  <c r="G21" i="1" s="1"/>
  <c r="H9" i="1"/>
  <c r="K9" i="1" s="1"/>
  <c r="F15" i="1"/>
  <c r="G15" i="1" s="1"/>
  <c r="E11" i="1"/>
  <c r="F13" i="1"/>
  <c r="G13" i="1" s="1"/>
  <c r="H26" i="1"/>
  <c r="K26" i="1" s="1"/>
  <c r="E12" i="1"/>
  <c r="H6" i="1"/>
  <c r="K6" i="1" s="1"/>
  <c r="H58" i="1"/>
  <c r="K58" i="1" s="1"/>
  <c r="G57" i="1"/>
  <c r="H57" i="1" s="1"/>
  <c r="K57" i="1" s="1"/>
  <c r="F62" i="1"/>
  <c r="G62" i="1" s="1"/>
  <c r="H10" i="1"/>
  <c r="K10" i="1" s="1"/>
  <c r="H8" i="1"/>
  <c r="K8" i="1" s="1"/>
  <c r="N62" i="1" l="1"/>
  <c r="F26" i="1"/>
  <c r="G26" i="1"/>
  <c r="F12" i="1"/>
  <c r="G12" i="1" s="1"/>
  <c r="F11" i="1"/>
  <c r="E14" i="1"/>
  <c r="H13" i="1"/>
  <c r="K13" i="1" s="1"/>
  <c r="E26" i="1"/>
  <c r="F14" i="1" l="1"/>
  <c r="G11" i="1"/>
  <c r="G14" i="1" s="1"/>
  <c r="H12" i="1"/>
  <c r="K12" i="1" s="1"/>
  <c r="H14" i="1" l="1"/>
  <c r="K14" i="1" s="1"/>
  <c r="H11" i="1"/>
  <c r="K11" i="1" l="1"/>
  <c r="K75" i="1" s="1"/>
  <c r="N14" i="1"/>
  <c r="N76" i="1" s="1"/>
  <c r="O76" i="1" l="1"/>
  <c r="H77" i="1"/>
  <c r="K77" i="1" l="1"/>
  <c r="H85" i="1"/>
  <c r="K85" i="1" s="1"/>
  <c r="H87" i="1"/>
  <c r="I44" i="3" l="1"/>
  <c r="Q44" i="3"/>
</calcChain>
</file>

<file path=xl/comments1.xml><?xml version="1.0" encoding="utf-8"?>
<comments xmlns="http://schemas.openxmlformats.org/spreadsheetml/2006/main">
  <authors>
    <author>Sandra Milena Quiroga Castillo</author>
  </authors>
  <commentList>
    <comment ref="M47" authorId="0">
      <text>
        <r>
          <rPr>
            <b/>
            <sz val="9"/>
            <color indexed="81"/>
            <rFont val="Tahoma"/>
            <family val="2"/>
          </rPr>
          <t>Sandra Milena Quiroga Castillo:</t>
        </r>
        <r>
          <rPr>
            <sz val="9"/>
            <color indexed="81"/>
            <rFont val="Tahoma"/>
            <family val="2"/>
          </rPr>
          <t xml:space="preserve">
</t>
        </r>
      </text>
    </comment>
  </commentList>
</comments>
</file>

<file path=xl/comments2.xml><?xml version="1.0" encoding="utf-8"?>
<comments xmlns="http://schemas.openxmlformats.org/spreadsheetml/2006/main">
  <authors>
    <author>Sandra Milena Quiroga Castillo</author>
  </authors>
  <commentList>
    <comment ref="Q27" authorId="0">
      <text>
        <r>
          <rPr>
            <b/>
            <sz val="9"/>
            <color indexed="81"/>
            <rFont val="Tahoma"/>
            <family val="2"/>
          </rPr>
          <t>Sandra Milena Quiroga Castillo:</t>
        </r>
        <r>
          <rPr>
            <sz val="9"/>
            <color indexed="81"/>
            <rFont val="Tahoma"/>
            <family val="2"/>
          </rPr>
          <t xml:space="preserve">
</t>
        </r>
      </text>
    </comment>
  </commentList>
</comments>
</file>

<file path=xl/sharedStrings.xml><?xml version="1.0" encoding="utf-8"?>
<sst xmlns="http://schemas.openxmlformats.org/spreadsheetml/2006/main" count="481" uniqueCount="240">
  <si>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</si>
  <si>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</si>
  <si>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</si>
  <si>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</si>
  <si>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</si>
  <si>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</si>
  <si>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</si>
  <si>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</si>
  <si>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</si>
  <si>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</si>
  <si>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</si>
  <si>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</si>
  <si>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</si>
  <si>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</si>
  <si>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</si>
  <si>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</si>
  <si>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</si>
  <si>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</si>
  <si>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</si>
  <si>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</si>
  <si>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</si>
  <si>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</si>
  <si>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</si>
  <si>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</si>
  <si>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</si>
  <si>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</si>
  <si>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</si>
  <si>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</si>
  <si>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</si>
  <si>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</si>
  <si>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</si>
  <si>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Suministro de Insumos de Aseo y Cafetería Sede Central (Bogotá)
NOTA: El proponente debe igualmente diligenciar el ANEXO No. 17 para desarrollar el numeral 2. Insumos de Aseo y Cafetería del ANEXO No. 10 PROPUESTA ECONÓMICA.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</si>
  <si>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</si>
  <si>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</si>
  <si>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</si>
  <si>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</si>
  <si>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</si>
  <si>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</si>
  <si>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</si>
  <si>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</si>
  <si>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</si>
  <si>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</si>
  <si>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</si>
  <si>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</si>
  <si>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</si>
  <si>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</si>
  <si>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</si>
  <si>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</si>
  <si>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</si>
  <si>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</si>
  <si>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</si>
  <si>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</si>
  <si>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</si>
  <si>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</si>
  <si>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</si>
  <si>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</si>
  <si>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</si>
  <si>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</si>
  <si>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</si>
  <si>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</si>
  <si>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</si>
  <si>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</si>
  <si>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</si>
  <si>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</si>
  <si>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</si>
  <si>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</si>
  <si>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</si>
  <si>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</si>
  <si>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</si>
  <si>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</si>
  <si>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</si>
  <si>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</si>
  <si>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</si>
  <si>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</si>
  <si>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</si>
  <si>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</si>
  <si>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</si>
  <si>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</si>
  <si>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</si>
  <si>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</si>
  <si>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</si>
  <si>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</si>
  <si>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</si>
  <si>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</si>
  <si>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</si>
  <si>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</si>
  <si>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</si>
  <si>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</si>
  <si>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</si>
  <si>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</si>
  <si>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</si>
  <si>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</si>
  <si>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</si>
  <si>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</si>
  <si>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</si>
  <si>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</si>
  <si>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</si>
  <si>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</si>
  <si>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</si>
  <si>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</si>
  <si>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</si>
  <si>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</si>
  <si>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</si>
  <si>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</si>
  <si>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</si>
  <si>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</si>
  <si>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</si>
  <si>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</si>
  <si>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</si>
  <si>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</si>
  <si>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</si>
  <si>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</si>
  <si>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</si>
  <si>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</si>
  <si>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</si>
  <si>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</si>
  <si>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</si>
  <si>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</si>
  <si>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</si>
  <si>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</si>
  <si>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</si>
  <si>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</si>
  <si>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</si>
  <si>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</si>
  <si>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</si>
  <si>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</si>
  <si>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</si>
  <si>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</si>
  <si>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</si>
  <si>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</si>
  <si>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</si>
  <si>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</si>
  <si>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</si>
  <si>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</si>
  <si>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</si>
  <si>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</si>
  <si>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</si>
  <si>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</si>
  <si>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</si>
  <si>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</si>
  <si>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</si>
  <si>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</si>
  <si>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</si>
  <si>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</si>
  <si>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</si>
  <si>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</si>
  <si>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</si>
  <si>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</si>
  <si>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</si>
  <si>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</si>
  <si>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</si>
  <si>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</si>
  <si>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</si>
  <si>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</si>
  <si>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</si>
  <si>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</si>
  <si>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</si>
  <si>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</si>
  <si>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</si>
  <si>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</si>
  <si>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</si>
  <si>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</si>
  <si>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</si>
  <si>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</si>
  <si>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</si>
  <si>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</si>
  <si>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</si>
  <si>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</si>
  <si>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</si>
  <si>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</si>
  <si>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</si>
  <si>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</si>
  <si>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</si>
  <si>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</si>
  <si>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</si>
  <si>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</si>
  <si>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</si>
  <si>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</si>
  <si>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</si>
  <si>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</si>
  <si>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</si>
  <si>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</si>
  <si>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</si>
  <si>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</si>
  <si>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</si>
  <si>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</si>
  <si>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</si>
  <si>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</si>
  <si>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</si>
  <si>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</si>
  <si>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</si>
  <si>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</si>
  <si>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</si>
  <si>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</si>
  <si>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</si>
  <si>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OTRAS CIUDADES (Arauca, Cartagena, Tunja, Manizales, Popayán, Valledupar, Quibdó, Montería, Neiva, Santa Marta, Villavicencio, Pasto, Cúcuta, Armenia, Pereira, San Gil, Sincelejo, Ibague, Riohacha, Yopal, Barrancabermeja, Leticia, Mocoa)</t>
  </si>
  <si>
    <t>Vlr Neto Mensual ((Vlr Bruto Mensual+IVA) x Cantidad)</t>
  </si>
  <si>
    <t xml:space="preserve">VALOR NETO VIGENCIA DESDE 01 MAYO AL 31 DE DICIEMBRE DE 2015 </t>
  </si>
  <si>
    <t>SUMATORIA VIGENCIAS DESDE 01 DE MAYO DE 2015 HASTA 01 DE MAYO DE 2017</t>
  </si>
  <si>
    <t>Valor Neto ((Vlr Unitario+IVA)  x Cant)</t>
  </si>
  <si>
    <t>VALOR PROPUESTA ECONÓMICA</t>
  </si>
  <si>
    <t>VALOR 01 MAYO AL 31 DE DICIEMBRE DE 2015 por concepto de dotación</t>
  </si>
  <si>
    <t>VALOR 01 DE ENERO AL 31 DE DICIEMBRE DE 2016 (Incremento del 3,66% para la dotación)</t>
  </si>
  <si>
    <t>VALOR 01 DE ENERO DE 2017 AL 01 DE MAYO DE 2017 (Incremento del 2,77% para la dotación)</t>
  </si>
  <si>
    <t>AIU 
10_ %</t>
  </si>
  <si>
    <t>IVA (16%)</t>
  </si>
  <si>
    <t>-</t>
  </si>
  <si>
    <r>
      <t xml:space="preserve">Operaria Aseo medio Tiempo Punto de Atención San Andrés y Leticia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</si>
  <si>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Leticia ( Amazonas)</t>
  </si>
  <si>
    <t xml:space="preserve">PROPUESTA
</t>
  </si>
  <si>
    <t>DIFERENCIA</t>
  </si>
  <si>
    <t>Observacion:                                                                                                                                El proponente en el Anexo 17 no incremento el  3,66% en el valor unitario de las vigencias 2016 y 2017                                                                                                                                                                                                                                                                                                                                                         El valor de la vigencia 2015 de este Anexo 10 - 2, su valor no correponde al del Anexo 17</t>
  </si>
  <si>
    <t xml:space="preserve">Suministro de Insumos de Aseo y Cafetería a punto de atención del Archipielago de San Andrés Islas y Leticia (Aamazonas) 
NOTA: El proponente debe igualmente diligenciar el ANEXO No. 17 para desarrollar el numeral 2. Insumos de Aseo y Cafetería del ANEXO No. 10 PROPUESTA ECONÓMICA.   </t>
  </si>
  <si>
    <t xml:space="preserve">Observacion:                                                                                                                                El proponente en el Anexo 17 no incremento el  3,66% en el valor unitario de las vigencias 2016 y 2017                                                                                                                                                                                                                                                                                                                                                         </t>
  </si>
  <si>
    <t>3.2 EQUIPOS Y ELEMENTOS MINIMOS REQUERIDOS</t>
  </si>
  <si>
    <t>ARCHIPIÉLAGO DE SAN ANDRÉS ISLAS/ LETICIA (AMAZONAS)</t>
  </si>
  <si>
    <t xml:space="preserve">VALOR NETO VIGENCIA DESDE 01 DE ENERO AL 31 DE DICIEMBRE DE 2016 (Incremento del 3,66%) </t>
  </si>
  <si>
    <t xml:space="preserve">VALOR NETO VIGENCIA DESDE 01 DE ENERO AL 01 DE MAYO DE 2017 (Incremento del 3,66%) </t>
  </si>
  <si>
    <t>Articulo 270 Ley 223 de 1995</t>
  </si>
  <si>
    <t>EXCLUSION DEL IMPUESTO SOBRE LAS VENTAS EN EL DEPARTAMENTO DEL AMAZONAS. Sin perjuicio de lo dispuesto en la Ley 191 de 1995, la exclusión del régimen del impuesto sobre las ventas se aplicará sobre los siguientes hechos:      a) La venta de bienes realizadas dentro del territorio del departamento del Amazonas, y   b) La prestación de servicios realizados en el territorio del departamento del Amazonas.</t>
  </si>
  <si>
    <t>OFERTA VALIDA POR NOVENTA (90) DIAS</t>
  </si>
  <si>
    <t>C.C. 39.789.196</t>
  </si>
  <si>
    <t>CENTRO ASEO MANTENIMIENTO PROFESIONAL S.A.S.</t>
  </si>
  <si>
    <t>NIT 900.073.254-1</t>
  </si>
  <si>
    <t xml:space="preserve">Observacion:   El proponente en el Anexo 10- 5 no incremento el  3,66% en el valor de las vigencias 2016 y 2017                                                                                                                                                                                                                                                                                                                                                         </t>
  </si>
  <si>
    <t>VALOR TOTAL PROPUESTA ECONÓMICA</t>
  </si>
  <si>
    <t xml:space="preserve">NOTA 2 DEL EVALUADOR: </t>
  </si>
  <si>
    <t>VALOR TOTAL ERRORES ARITMÉTICOS EN LA DETERMINACIÓN DEL VALOR TOTAL DE LA PROPUESTA ECONÓMICA</t>
  </si>
  <si>
    <t>Valor del error aritmético en la determinación de la vigencia 01/05/2015 - 31/12/2015 entre lo ofertado y lo liquidado por el ICETEX:</t>
  </si>
  <si>
    <t>Valor del error aritmético en la determinación de la vigencia 01/01/2016 - 31/12/2016 entre lo ofertado y lo liquidado por el ICETEX:</t>
  </si>
  <si>
    <t>Valor del error aritmético en la determinación de la vigencia 01/01/2017 - 31/05/2017 entre lo ofertado y lo liquidado por el ICETEX:</t>
  </si>
  <si>
    <t>NUEVE MILLONES CUATROCIENTOS OCHENTA Y NUEVE MIL SETECIENTOS VEINTE PESOS</t>
  </si>
  <si>
    <t>UN MIL SEISCIENTOS NUEVE MILLONES OCHOCIENTOS NOVENTA Y CINCO MIL TRESCIENTOS OCHENTA Y SEIS PESOS M/CTE</t>
  </si>
  <si>
    <t xml:space="preserve">Suministro de Insumos de Aseo y Cafetería a punto de atención del Archipielago de San Andrés Islas y Leticia (Aamazonas) </t>
  </si>
  <si>
    <r>
      <rPr>
        <b/>
        <sz val="10"/>
        <color theme="1"/>
        <rFont val="Arial Narrow"/>
        <family val="2"/>
      </rPr>
      <t xml:space="preserve">NOTA 1 DEL EVALUADOR: </t>
    </r>
    <r>
      <rPr>
        <sz val="10"/>
        <color theme="1"/>
        <rFont val="Arial Narrow"/>
        <family val="2"/>
      </rPr>
      <t xml:space="preserve">El proponente tuvo en cuenta las disposiciones que sobre exclusión del régimen del IVA aplica para los servicios a prestar dentro del Departamento de Amazons y Archipiélago de San Andrés; es decir que, no incluyó IVA dentro de lo ofertado. </t>
    </r>
  </si>
  <si>
    <r>
      <rPr>
        <b/>
        <sz val="10"/>
        <color theme="1"/>
        <rFont val="Arial Narrow"/>
        <family val="2"/>
      </rPr>
      <t>NOTA 2 DEL EVALUADOR:</t>
    </r>
    <r>
      <rPr>
        <sz val="10"/>
        <color theme="1"/>
        <rFont val="Arial Narrow"/>
        <family val="2"/>
      </rPr>
      <t xml:space="preserve"> Se deja constancia que la Entidad al momento de validar la propuesta empleó para la formulación de las celdas dos decimales. </t>
    </r>
  </si>
  <si>
    <r>
      <rPr>
        <b/>
        <sz val="10"/>
        <color theme="1"/>
        <rFont val="Arial Narrow"/>
        <family val="2"/>
      </rPr>
      <t>NOTA 1 DEL EVALUADOR:</t>
    </r>
    <r>
      <rPr>
        <sz val="10"/>
        <color theme="1"/>
        <rFont val="Arial Narrow"/>
        <family val="2"/>
      </rPr>
      <t xml:space="preserve"> El proponente tuvo en cuenta las disposiciones que sobre exclusión del régimen del IVA aplica para los servicios a prestar dentro del Departamento de Amazons y Archipiélago de San Andrés; es decir que, no incluyó IVA dentro de lo ofertado. </t>
    </r>
  </si>
  <si>
    <r>
      <rPr>
        <b/>
        <sz val="10"/>
        <color theme="1"/>
        <rFont val="Arial Narrow"/>
        <family val="2"/>
      </rPr>
      <t xml:space="preserve">NOTA 2 DEL EVALUADOR: </t>
    </r>
    <r>
      <rPr>
        <sz val="10"/>
        <color theme="1"/>
        <rFont val="Arial Narrow"/>
        <family val="2"/>
      </rPr>
      <t xml:space="preserve">Se deja constancia que la Entidad al momento de validar la propuesta empleó para la formulación de las celdas dos decimales. </t>
    </r>
  </si>
  <si>
    <r>
      <t xml:space="preserve">NOTA 3 DEL EVALUADOR: </t>
    </r>
    <r>
      <rPr>
        <sz val="11"/>
        <color rgb="FF000000"/>
        <rFont val="Calibri"/>
        <family val="2"/>
      </rPr>
      <t xml:space="preserve">Teniendo en cuenta que el valor total de los errores aritméticos no supera el 1%  del valor total de la oferta económica, la propuesta NO será rechazada por esta causal en particular. </t>
    </r>
  </si>
  <si>
    <r>
      <t xml:space="preserve">NOTA 1 DEL EVALUADOR. </t>
    </r>
    <r>
      <rPr>
        <sz val="11"/>
        <color rgb="FF000000"/>
        <rFont val="Calibri"/>
        <family val="2"/>
      </rPr>
      <t xml:space="preserve">Uno por ciento (1%) del valor total de la Oferta Económica: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</si>
</sst>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quot;$&quot;* #,##0.00_-;_-&quot;$&quot;* &quot;-&quot;??_-;_-@_-"/>
    <numFmt numFmtId="165" formatCode="_-* #,##0.00_-;\-* #,##0.00_-;_-* &quot;-&quot;??_-;_-@_-"/>
    <numFmt numFmtId="166" formatCode="_(&quot;$&quot;* #,##0.00_);_(&quot;$&quot;* \(#,##0.00\);_(&quot;$&quot;* &quot;-&quot;??_);_(@_)"/>
    <numFmt numFmtId="167" formatCode="_(&quot;$&quot;* #,##0_);_(&quot;$&quot;* \(#,##0\);_(&quot;$&quot;* &quot;-&quot;??_);_(@_)"/>
    <numFmt numFmtId="168" formatCode="_-* #,##0_-;\-* #,##0_-;_-* &quot;-&quot;??_-;_-@_-"/>
    <numFmt numFmtId="169" formatCode="_-&quot;$&quot;* #,##0_-;\-&quot;$&quot;* #,##0_-;_-&quot;$&quot;* &quot;-&quot;??_-;_-@_-"/>
    <numFmt numFmtId="170" formatCode="[$$-240A]\ #,##0_ ;\-[$$-240A]\ #,##0\ "/>
  </numFmts>
  <fonts count="50"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sz val="9"/>
      <color indexed="81"/>
      <name val="Tahoma"/>
      <family val="2"/>
    </font>
    <font>
      <b/>
      <sz val="9"/>
      <color indexed="81"/>
      <name val="Tahoma"/>
      <family val="2"/>
    </font>
    <font>
      <sz val="15"/>
      <color theme="1"/>
      <name val="Arial Narrow"/>
      <family val="2"/>
    </font>
    <font>
      <b/>
      <sz val="15"/>
      <color theme="1"/>
      <name val="Arial Narrow"/>
      <family val="2"/>
    </font>
    <font>
      <sz val="11"/>
      <color rgb="FFFF0000"/>
      <name val="Calibri"/>
      <family val="2"/>
      <scheme val="minor"/>
    </font>
    <font>
      <b/>
      <sz val="10"/>
      <color rgb="FFFF0000"/>
      <name val="Arial Narrow"/>
      <family val="2"/>
    </font>
    <font>
      <sz val="10"/>
      <color rgb="FFFF0000"/>
      <name val="Arial Narrow"/>
      <family val="2"/>
    </font>
    <font>
      <b/>
      <sz val="9"/>
      <color rgb="FFFF0000"/>
      <name val="Arial Narrow"/>
      <family val="2"/>
    </font>
    <font>
      <b/>
      <sz val="10"/>
      <color rgb="FF7030A0"/>
      <name val="Arial Narrow"/>
      <family val="2"/>
    </font>
    <font>
      <sz val="10"/>
      <color rgb="FF7030A0"/>
      <name val="Arial Narrow"/>
      <family val="2"/>
    </font>
    <font>
      <b/>
      <sz val="9"/>
      <color rgb="FF7030A0"/>
      <name val="Arial Narrow"/>
      <family val="2"/>
    </font>
    <font>
      <sz val="9"/>
      <color rgb="FF7030A0"/>
      <name val="Arial Narrow"/>
      <family val="2"/>
    </font>
    <font>
      <b/>
      <sz val="9"/>
      <name val="Arial Narrow"/>
      <family val="2"/>
    </font>
    <font>
      <b/>
      <sz val="11"/>
      <color theme="1"/>
      <name val="Arial Narrow"/>
      <family val="2"/>
    </font>
    <font>
      <sz val="18"/>
      <color rgb="FF000000"/>
      <name val="Arial Narrow"/>
      <family val="2"/>
    </font>
    <font>
      <sz val="12"/>
      <color theme="1"/>
      <name val="Calibri"/>
      <family val="2"/>
      <scheme val="minor"/>
    </font>
    <font>
      <sz val="9"/>
      <color rgb="FFFF0000"/>
      <name val="Calibri"/>
      <family val="2"/>
    </font>
    <font>
      <b/>
      <sz val="9"/>
      <color rgb="FFFF0000"/>
      <name val="Calibri"/>
      <family val="2"/>
    </font>
    <font>
      <sz val="12"/>
      <color rgb="FFFF0000"/>
      <name val="Calibri"/>
      <family val="2"/>
      <scheme val="minor"/>
    </font>
    <font>
      <b/>
      <sz val="11"/>
      <color rgb="FFFF0000"/>
      <name val="Calibri"/>
      <family val="2"/>
      <scheme val="minor"/>
    </font>
    <font>
      <b/>
      <sz val="12"/>
      <color rgb="FFFF0000"/>
      <name val="Calibri"/>
      <family val="2"/>
      <scheme val="minor"/>
    </font>
    <font>
      <sz val="14"/>
      <color theme="1"/>
      <name val="Calibri"/>
      <family val="2"/>
      <scheme val="minor"/>
    </font>
    <font>
      <b/>
      <sz val="14"/>
      <color theme="1"/>
      <name val="Calibri"/>
      <family val="2"/>
      <scheme val="minor"/>
    </font>
    <font>
      <b/>
      <sz val="14"/>
      <color rgb="FFFF0000"/>
      <name val="Arial Narrow"/>
      <family val="2"/>
    </font>
    <font>
      <sz val="11"/>
      <color theme="1"/>
      <name val="Calibri"/>
      <family val="2"/>
    </font>
    <font>
      <sz val="11"/>
      <color rgb="FF000000"/>
      <name val="Calibri"/>
      <family val="2"/>
    </font>
    <font>
      <b/>
      <sz val="14"/>
      <color rgb="FF000000"/>
      <name val="Calibri"/>
      <family val="2"/>
    </font>
    <font>
      <sz val="11"/>
      <color rgb="FFFF0000"/>
      <name val="Calibri"/>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theme="0" tint="-0.499984740745262"/>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diagonal/>
    </border>
  </borders>
  <cellStyleXfs count="9">
    <xf numFmtId="0" fontId="0"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cellStyleXfs>
  <cellXfs count="407">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7"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13" xfId="0" applyFont="1" applyFill="1" applyBorder="1" applyAlignment="1">
      <alignment horizontal="justify" vertical="center" wrapText="1"/>
    </xf>
    <xf numFmtId="0" fontId="7" fillId="2" borderId="0" xfId="0" applyFont="1" applyFill="1" applyBorder="1" applyAlignment="1">
      <alignment horizontal="justify" vertical="center" wrapText="1"/>
    </xf>
    <xf numFmtId="167"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justify" vertical="center"/>
    </xf>
    <xf numFmtId="0" fontId="11" fillId="0" borderId="13" xfId="0" applyFont="1" applyBorder="1" applyAlignment="1">
      <alignment horizontal="center" vertical="center" wrapText="1"/>
    </xf>
    <xf numFmtId="0" fontId="0" fillId="0" borderId="13"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4" xfId="0" applyBorder="1"/>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0" xfId="0" applyFont="1" applyBorder="1" applyAlignment="1">
      <alignment horizontal="justify" vertical="top" wrapText="1"/>
    </xf>
    <xf numFmtId="0" fontId="18" fillId="0" borderId="14" xfId="0" applyFont="1" applyBorder="1" applyAlignment="1">
      <alignment horizontal="justify" vertical="center"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0" fillId="0" borderId="4" xfId="0" applyBorder="1"/>
    <xf numFmtId="0" fontId="8" fillId="0" borderId="13" xfId="0" applyFont="1" applyBorder="1" applyAlignment="1">
      <alignment horizontal="justify"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5" fillId="4"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0" fillId="0" borderId="13" xfId="0" applyFont="1" applyBorder="1" applyAlignment="1">
      <alignment horizontal="justify" vertical="center" wrapText="1"/>
    </xf>
    <xf numFmtId="165" fontId="4" fillId="0" borderId="6" xfId="0" applyNumberFormat="1" applyFont="1" applyBorder="1" applyAlignment="1">
      <alignment horizontal="justify" vertical="center" wrapText="1"/>
    </xf>
    <xf numFmtId="168" fontId="8" fillId="0" borderId="6" xfId="0" applyNumberFormat="1" applyFont="1" applyBorder="1" applyAlignment="1">
      <alignment horizontal="justify" vertical="center" wrapText="1"/>
    </xf>
    <xf numFmtId="0" fontId="4" fillId="7" borderId="14" xfId="0" applyFont="1" applyFill="1" applyBorder="1" applyAlignment="1">
      <alignment vertical="center" wrapText="1"/>
    </xf>
    <xf numFmtId="0" fontId="4" fillId="7" borderId="11" xfId="0" applyFont="1" applyFill="1" applyBorder="1" applyAlignment="1">
      <alignment vertical="center" wrapText="1"/>
    </xf>
    <xf numFmtId="165" fontId="7" fillId="0" borderId="0" xfId="0" applyNumberFormat="1" applyFont="1"/>
    <xf numFmtId="164" fontId="7" fillId="0" borderId="0" xfId="8" applyFont="1"/>
    <xf numFmtId="164" fontId="7" fillId="0" borderId="0" xfId="0" applyNumberFormat="1" applyFont="1"/>
    <xf numFmtId="164" fontId="0" fillId="0" borderId="13" xfId="8" applyFont="1" applyBorder="1"/>
    <xf numFmtId="169" fontId="0" fillId="0" borderId="13" xfId="8" applyNumberFormat="1" applyFont="1" applyBorder="1"/>
    <xf numFmtId="169" fontId="0" fillId="0" borderId="0" xfId="0" applyNumberFormat="1"/>
    <xf numFmtId="164" fontId="0" fillId="0" borderId="0" xfId="8" applyFont="1"/>
    <xf numFmtId="164" fontId="5" fillId="2" borderId="13" xfId="8" applyFont="1" applyFill="1" applyBorder="1" applyAlignment="1">
      <alignment horizontal="center" vertical="center" wrapText="1"/>
    </xf>
    <xf numFmtId="164" fontId="7" fillId="2" borderId="5" xfId="8" applyFont="1" applyFill="1" applyBorder="1" applyAlignment="1">
      <alignment vertical="top"/>
    </xf>
    <xf numFmtId="164" fontId="7" fillId="2" borderId="0" xfId="8" applyFont="1" applyFill="1" applyBorder="1"/>
    <xf numFmtId="164" fontId="12" fillId="0" borderId="13" xfId="8" applyFont="1" applyBorder="1" applyAlignment="1">
      <alignment vertical="center" wrapText="1"/>
    </xf>
    <xf numFmtId="164" fontId="24" fillId="2" borderId="0" xfId="8" applyFont="1" applyFill="1" applyBorder="1"/>
    <xf numFmtId="164" fontId="25" fillId="2" borderId="0" xfId="8" applyFont="1" applyFill="1" applyBorder="1"/>
    <xf numFmtId="0" fontId="12" fillId="0" borderId="0" xfId="0" applyFont="1" applyAlignment="1">
      <alignment vertical="center" wrapText="1"/>
    </xf>
    <xf numFmtId="167" fontId="5" fillId="2" borderId="0" xfId="2" applyNumberFormat="1" applyFont="1" applyFill="1" applyBorder="1" applyAlignment="1">
      <alignment horizontal="center" vertical="center" wrapText="1"/>
    </xf>
    <xf numFmtId="164" fontId="9" fillId="2" borderId="0" xfId="0" applyNumberFormat="1" applyFont="1" applyFill="1" applyBorder="1" applyAlignment="1">
      <alignment vertical="center"/>
    </xf>
    <xf numFmtId="0" fontId="9" fillId="2" borderId="0" xfId="0" applyFont="1" applyFill="1" applyBorder="1" applyAlignment="1">
      <alignment vertical="center"/>
    </xf>
    <xf numFmtId="0" fontId="9" fillId="0" borderId="0" xfId="0" applyFont="1" applyAlignment="1">
      <alignment vertical="center" wrapText="1"/>
    </xf>
    <xf numFmtId="0" fontId="9" fillId="0" borderId="0" xfId="0" applyFont="1" applyAlignment="1">
      <alignment vertical="center"/>
    </xf>
    <xf numFmtId="169" fontId="7" fillId="2" borderId="0" xfId="0" applyNumberFormat="1" applyFont="1" applyFill="1" applyBorder="1"/>
    <xf numFmtId="0" fontId="14" fillId="0" borderId="0" xfId="0" applyFont="1" applyAlignment="1">
      <alignment horizontal="left" vertical="center" wrapText="1"/>
    </xf>
    <xf numFmtId="167" fontId="7" fillId="6" borderId="13" xfId="0" applyNumberFormat="1" applyFont="1" applyFill="1" applyBorder="1"/>
    <xf numFmtId="167" fontId="4" fillId="6" borderId="13" xfId="0" applyNumberFormat="1" applyFont="1" applyFill="1" applyBorder="1" applyAlignment="1">
      <alignment horizontal="center" vertical="center" wrapText="1"/>
    </xf>
    <xf numFmtId="167" fontId="4" fillId="0" borderId="13" xfId="7" applyNumberFormat="1" applyFont="1" applyBorder="1" applyAlignment="1">
      <alignment horizontal="center" vertical="center" wrapText="1"/>
    </xf>
    <xf numFmtId="167" fontId="4" fillId="0" borderId="13" xfId="0" applyNumberFormat="1" applyFont="1" applyBorder="1" applyAlignment="1">
      <alignment horizontal="center" vertical="center" wrapText="1"/>
    </xf>
    <xf numFmtId="167" fontId="4" fillId="0" borderId="13" xfId="0" applyNumberFormat="1" applyFont="1" applyBorder="1" applyAlignment="1">
      <alignment horizontal="justify" vertical="center" wrapText="1"/>
    </xf>
    <xf numFmtId="167" fontId="4" fillId="0" borderId="13" xfId="7" applyNumberFormat="1" applyFont="1" applyBorder="1" applyAlignment="1">
      <alignment horizontal="justify" vertical="center" wrapText="1"/>
    </xf>
    <xf numFmtId="167" fontId="8" fillId="0" borderId="13" xfId="7" applyNumberFormat="1" applyFont="1" applyBorder="1" applyAlignment="1">
      <alignment horizontal="justify" vertical="center" wrapText="1"/>
    </xf>
    <xf numFmtId="167" fontId="4" fillId="7" borderId="11" xfId="0" applyNumberFormat="1" applyFont="1" applyFill="1" applyBorder="1" applyAlignment="1">
      <alignment vertical="center" wrapText="1"/>
    </xf>
    <xf numFmtId="167" fontId="4" fillId="7" borderId="11" xfId="7" applyNumberFormat="1" applyFont="1" applyFill="1" applyBorder="1" applyAlignment="1">
      <alignment vertical="center" wrapText="1"/>
    </xf>
    <xf numFmtId="167" fontId="4" fillId="7" borderId="12" xfId="7" applyNumberFormat="1" applyFont="1" applyFill="1" applyBorder="1" applyAlignment="1">
      <alignment vertical="center" wrapText="1"/>
    </xf>
    <xf numFmtId="167" fontId="4" fillId="7" borderId="13" xfId="0" applyNumberFormat="1" applyFont="1" applyFill="1" applyBorder="1" applyAlignment="1">
      <alignment horizontal="justify" vertical="center" wrapText="1"/>
    </xf>
    <xf numFmtId="167" fontId="8" fillId="0" borderId="13" xfId="0" applyNumberFormat="1" applyFont="1" applyBorder="1" applyAlignment="1">
      <alignment horizontal="justify" vertical="center" wrapText="1"/>
    </xf>
    <xf numFmtId="167" fontId="4" fillId="7" borderId="12" xfId="0" applyNumberFormat="1" applyFont="1" applyFill="1" applyBorder="1" applyAlignment="1">
      <alignment vertical="center" wrapText="1"/>
    </xf>
    <xf numFmtId="167" fontId="9" fillId="7" borderId="13" xfId="0" applyNumberFormat="1" applyFont="1" applyFill="1" applyBorder="1"/>
    <xf numFmtId="167" fontId="4" fillId="0" borderId="13" xfId="7" applyNumberFormat="1" applyFont="1" applyBorder="1" applyAlignment="1">
      <alignment horizontal="right" vertical="center" wrapText="1"/>
    </xf>
    <xf numFmtId="167" fontId="8" fillId="0" borderId="13" xfId="7" applyNumberFormat="1" applyFont="1" applyBorder="1" applyAlignment="1">
      <alignment horizontal="right" vertical="center" wrapText="1"/>
    </xf>
    <xf numFmtId="167" fontId="8" fillId="0" borderId="13" xfId="0" applyNumberFormat="1" applyFont="1" applyBorder="1" applyAlignment="1">
      <alignment horizontal="center" vertical="center" wrapText="1"/>
    </xf>
    <xf numFmtId="167" fontId="8" fillId="0" borderId="13" xfId="7" applyNumberFormat="1" applyFont="1" applyBorder="1" applyAlignment="1">
      <alignment horizontal="right" vertical="center"/>
    </xf>
    <xf numFmtId="167" fontId="7" fillId="0" borderId="13" xfId="7" applyNumberFormat="1" applyFont="1" applyBorder="1" applyAlignment="1">
      <alignment horizontal="right"/>
    </xf>
    <xf numFmtId="167" fontId="7" fillId="0" borderId="13" xfId="0" applyNumberFormat="1" applyFont="1" applyBorder="1"/>
    <xf numFmtId="167" fontId="9" fillId="0" borderId="13" xfId="8" applyNumberFormat="1" applyFont="1" applyBorder="1"/>
    <xf numFmtId="167" fontId="9" fillId="0" borderId="13" xfId="0" applyNumberFormat="1" applyFont="1" applyBorder="1"/>
    <xf numFmtId="167" fontId="7" fillId="0" borderId="13" xfId="8" applyNumberFormat="1" applyFont="1" applyBorder="1"/>
    <xf numFmtId="167" fontId="4" fillId="7" borderId="11" xfId="8" applyNumberFormat="1" applyFont="1" applyFill="1" applyBorder="1" applyAlignment="1">
      <alignment vertical="center" wrapText="1"/>
    </xf>
    <xf numFmtId="167" fontId="4" fillId="7" borderId="12" xfId="8" applyNumberFormat="1" applyFont="1" applyFill="1" applyBorder="1" applyAlignment="1">
      <alignment vertical="center" wrapText="1"/>
    </xf>
    <xf numFmtId="167" fontId="9" fillId="7" borderId="13" xfId="8" applyNumberFormat="1" applyFont="1" applyFill="1" applyBorder="1"/>
    <xf numFmtId="167" fontId="7" fillId="0" borderId="0" xfId="0" applyNumberFormat="1" applyFont="1"/>
    <xf numFmtId="167" fontId="12" fillId="0" borderId="13" xfId="0" applyNumberFormat="1" applyFont="1" applyBorder="1" applyAlignment="1">
      <alignment vertical="center" wrapText="1"/>
    </xf>
    <xf numFmtId="167" fontId="8" fillId="0" borderId="16" xfId="7" applyNumberFormat="1" applyFont="1" applyBorder="1" applyAlignment="1">
      <alignment vertical="center" wrapText="1"/>
    </xf>
    <xf numFmtId="167" fontId="4" fillId="0" borderId="16" xfId="0" applyNumberFormat="1" applyFont="1" applyBorder="1" applyAlignment="1">
      <alignment vertical="center" wrapText="1"/>
    </xf>
    <xf numFmtId="0" fontId="4" fillId="0" borderId="16" xfId="0" applyFont="1" applyBorder="1" applyAlignment="1">
      <alignment vertical="center" wrapText="1"/>
    </xf>
    <xf numFmtId="0" fontId="8" fillId="0" borderId="16" xfId="0" applyFont="1" applyBorder="1" applyAlignment="1">
      <alignment vertical="center" wrapText="1"/>
    </xf>
    <xf numFmtId="167" fontId="7" fillId="0" borderId="16" xfId="7" applyNumberFormat="1" applyFont="1" applyBorder="1" applyAlignment="1">
      <alignment vertical="center"/>
    </xf>
    <xf numFmtId="167" fontId="7" fillId="0" borderId="16" xfId="8" applyNumberFormat="1" applyFont="1" applyBorder="1" applyAlignment="1"/>
    <xf numFmtId="167" fontId="7" fillId="0" borderId="16" xfId="0" applyNumberFormat="1" applyFont="1" applyBorder="1" applyAlignment="1"/>
    <xf numFmtId="0" fontId="7" fillId="0" borderId="13" xfId="0" applyFont="1" applyBorder="1" applyAlignment="1">
      <alignment horizontal="left" vertical="center"/>
    </xf>
    <xf numFmtId="0" fontId="9" fillId="0" borderId="0" xfId="0" applyFont="1" applyBorder="1" applyAlignment="1">
      <alignment horizontal="center" vertical="center" wrapText="1"/>
    </xf>
    <xf numFmtId="0" fontId="30" fillId="6" borderId="13" xfId="0" applyFont="1" applyFill="1" applyBorder="1" applyAlignment="1">
      <alignment horizontal="center" vertical="center" wrapText="1"/>
    </xf>
    <xf numFmtId="169" fontId="30" fillId="0" borderId="13" xfId="0" applyNumberFormat="1" applyFont="1" applyBorder="1" applyAlignment="1">
      <alignment horizontal="justify" vertical="center" wrapText="1"/>
    </xf>
    <xf numFmtId="169" fontId="30" fillId="0" borderId="13" xfId="8" applyNumberFormat="1" applyFont="1" applyBorder="1" applyAlignment="1">
      <alignment horizontal="justify" vertical="center" wrapText="1"/>
    </xf>
    <xf numFmtId="169" fontId="31" fillId="0" borderId="13" xfId="0" applyNumberFormat="1" applyFont="1" applyBorder="1" applyAlignment="1">
      <alignment horizontal="justify" vertical="center" wrapText="1"/>
    </xf>
    <xf numFmtId="169" fontId="30" fillId="0" borderId="11" xfId="0" applyNumberFormat="1" applyFont="1" applyBorder="1" applyAlignment="1">
      <alignment vertical="center" wrapText="1"/>
    </xf>
    <xf numFmtId="0" fontId="31" fillId="0" borderId="0" xfId="0" applyFont="1"/>
    <xf numFmtId="169" fontId="30" fillId="0" borderId="11" xfId="8" applyNumberFormat="1" applyFont="1" applyBorder="1" applyAlignment="1">
      <alignment vertical="center" wrapText="1"/>
    </xf>
    <xf numFmtId="169" fontId="31" fillId="0" borderId="13" xfId="8" applyNumberFormat="1" applyFont="1" applyBorder="1"/>
    <xf numFmtId="0" fontId="33" fillId="0" borderId="0" xfId="0" applyFont="1" applyAlignment="1">
      <alignment horizontal="left" vertical="center" wrapText="1"/>
    </xf>
    <xf numFmtId="169" fontId="27" fillId="6" borderId="13" xfId="0" applyNumberFormat="1" applyFont="1" applyFill="1" applyBorder="1" applyAlignment="1">
      <alignment horizontal="center" vertical="center" wrapText="1"/>
    </xf>
    <xf numFmtId="169" fontId="28" fillId="0" borderId="0" xfId="8" applyNumberFormat="1" applyFont="1"/>
    <xf numFmtId="169" fontId="28" fillId="0" borderId="0" xfId="8" applyNumberFormat="1" applyFont="1" applyBorder="1"/>
    <xf numFmtId="169" fontId="28" fillId="0" borderId="0" xfId="0" applyNumberFormat="1" applyFont="1"/>
    <xf numFmtId="169" fontId="29" fillId="0" borderId="0" xfId="8" applyNumberFormat="1" applyFont="1" applyBorder="1" applyAlignment="1">
      <alignment vertical="center" wrapText="1"/>
    </xf>
    <xf numFmtId="169" fontId="27" fillId="0" borderId="0" xfId="8" applyNumberFormat="1" applyFont="1"/>
    <xf numFmtId="0" fontId="4" fillId="0" borderId="14" xfId="0" applyFont="1" applyFill="1" applyBorder="1" applyAlignment="1">
      <alignment vertical="center" wrapText="1"/>
    </xf>
    <xf numFmtId="0" fontId="4" fillId="0" borderId="11" xfId="0" applyFont="1" applyFill="1" applyBorder="1" applyAlignment="1">
      <alignment vertical="center" wrapText="1"/>
    </xf>
    <xf numFmtId="167" fontId="4" fillId="0" borderId="11" xfId="8" applyNumberFormat="1" applyFont="1" applyFill="1" applyBorder="1" applyAlignment="1">
      <alignment vertical="center" wrapText="1"/>
    </xf>
    <xf numFmtId="167" fontId="9" fillId="0" borderId="13" xfId="8" applyNumberFormat="1" applyFont="1" applyFill="1" applyBorder="1"/>
    <xf numFmtId="169" fontId="27" fillId="0" borderId="0" xfId="2" applyNumberFormat="1" applyFont="1" applyFill="1" applyBorder="1" applyAlignment="1">
      <alignment horizontal="center" vertical="center" wrapText="1"/>
    </xf>
    <xf numFmtId="169" fontId="27" fillId="6" borderId="0" xfId="0" applyNumberFormat="1" applyFont="1" applyFill="1" applyBorder="1" applyAlignment="1">
      <alignment horizontal="center" vertical="center" wrapText="1"/>
    </xf>
    <xf numFmtId="169" fontId="5" fillId="0" borderId="0" xfId="8" applyNumberFormat="1" applyFont="1"/>
    <xf numFmtId="169" fontId="9" fillId="0" borderId="0" xfId="8" applyNumberFormat="1" applyFont="1"/>
    <xf numFmtId="169" fontId="34" fillId="0" borderId="0" xfId="8" applyNumberFormat="1" applyFont="1" applyBorder="1" applyAlignment="1">
      <alignment vertical="center" wrapText="1"/>
    </xf>
    <xf numFmtId="167" fontId="9" fillId="0" borderId="13" xfId="0" applyNumberFormat="1" applyFont="1" applyBorder="1" applyAlignment="1">
      <alignment horizontal="center" vertical="center"/>
    </xf>
    <xf numFmtId="0" fontId="7" fillId="0" borderId="0" xfId="0" applyFont="1" applyAlignment="1">
      <alignment horizontal="center" vertical="center"/>
    </xf>
    <xf numFmtId="169" fontId="30" fillId="0" borderId="13" xfId="8" applyNumberFormat="1" applyFont="1" applyBorder="1" applyAlignment="1">
      <alignment horizontal="center" vertical="center"/>
    </xf>
    <xf numFmtId="169" fontId="27" fillId="0" borderId="0" xfId="8" applyNumberFormat="1" applyFont="1" applyAlignment="1">
      <alignment horizontal="center" vertical="center"/>
    </xf>
    <xf numFmtId="169" fontId="7" fillId="2" borderId="13" xfId="8" applyNumberFormat="1" applyFont="1" applyFill="1" applyBorder="1" applyAlignment="1">
      <alignment horizontal="center" vertical="center"/>
    </xf>
    <xf numFmtId="169" fontId="7" fillId="2" borderId="13" xfId="8" applyNumberFormat="1" applyFont="1" applyFill="1" applyBorder="1" applyAlignment="1">
      <alignment horizontal="center" vertical="center" wrapText="1"/>
    </xf>
    <xf numFmtId="164" fontId="7" fillId="2" borderId="13" xfId="8" applyFont="1" applyFill="1" applyBorder="1" applyAlignment="1">
      <alignment horizontal="center" vertical="center" wrapText="1"/>
    </xf>
    <xf numFmtId="164" fontId="28" fillId="2" borderId="13" xfId="8" applyFont="1" applyFill="1" applyBorder="1" applyAlignment="1">
      <alignment horizontal="center" vertical="center" wrapText="1"/>
    </xf>
    <xf numFmtId="169" fontId="28" fillId="2" borderId="13" xfId="8" applyNumberFormat="1" applyFont="1" applyFill="1" applyBorder="1" applyAlignment="1">
      <alignment horizontal="center" vertical="center" wrapText="1"/>
    </xf>
    <xf numFmtId="170" fontId="5" fillId="2" borderId="13" xfId="0" applyNumberFormat="1" applyFont="1" applyFill="1" applyBorder="1" applyAlignment="1">
      <alignment vertical="center" wrapText="1"/>
    </xf>
    <xf numFmtId="164" fontId="27" fillId="2" borderId="0" xfId="0" applyNumberFormat="1" applyFont="1" applyFill="1" applyBorder="1" applyAlignment="1">
      <alignment vertical="center"/>
    </xf>
    <xf numFmtId="170" fontId="7" fillId="2" borderId="0" xfId="8" applyNumberFormat="1" applyFont="1" applyFill="1" applyBorder="1"/>
    <xf numFmtId="170" fontId="7" fillId="2" borderId="0" xfId="0" applyNumberFormat="1" applyFont="1" applyFill="1" applyBorder="1"/>
    <xf numFmtId="169" fontId="9" fillId="2" borderId="0" xfId="0" applyNumberFormat="1" applyFont="1" applyFill="1" applyBorder="1" applyAlignment="1">
      <alignment vertical="center"/>
    </xf>
    <xf numFmtId="164" fontId="15" fillId="4" borderId="13" xfId="8" applyNumberFormat="1" applyFont="1" applyFill="1" applyBorder="1" applyAlignment="1">
      <alignment horizontal="center" vertical="center" wrapText="1"/>
    </xf>
    <xf numFmtId="164" fontId="15" fillId="4" borderId="13" xfId="8" applyNumberFormat="1" applyFont="1" applyFill="1" applyBorder="1" applyAlignment="1">
      <alignment horizontal="right" vertical="center" wrapText="1"/>
    </xf>
    <xf numFmtId="164" fontId="10" fillId="0" borderId="13" xfId="8" applyNumberFormat="1" applyFont="1" applyBorder="1" applyAlignment="1">
      <alignment horizontal="right" vertical="center"/>
    </xf>
    <xf numFmtId="164" fontId="1" fillId="0" borderId="13" xfId="8" applyNumberFormat="1" applyFont="1" applyBorder="1" applyAlignment="1">
      <alignment horizontal="right" vertical="center"/>
    </xf>
    <xf numFmtId="164" fontId="1" fillId="0" borderId="0" xfId="8" applyNumberFormat="1" applyFont="1" applyBorder="1" applyAlignment="1">
      <alignment horizontal="right"/>
    </xf>
    <xf numFmtId="164" fontId="10" fillId="0" borderId="0" xfId="8" applyNumberFormat="1" applyFont="1" applyBorder="1" applyAlignment="1">
      <alignment horizontal="right" vertical="center"/>
    </xf>
    <xf numFmtId="164" fontId="10" fillId="0" borderId="13" xfId="8" applyNumberFormat="1" applyFont="1" applyBorder="1" applyAlignment="1">
      <alignment horizontal="justify" vertical="center"/>
    </xf>
    <xf numFmtId="164" fontId="1" fillId="0" borderId="13" xfId="8" applyNumberFormat="1" applyFont="1" applyBorder="1" applyAlignment="1">
      <alignment vertical="center"/>
    </xf>
    <xf numFmtId="164" fontId="1" fillId="0" borderId="0" xfId="8" applyNumberFormat="1" applyFont="1" applyBorder="1"/>
    <xf numFmtId="164" fontId="1" fillId="0" borderId="12" xfId="8" applyNumberFormat="1" applyFont="1" applyBorder="1" applyAlignment="1">
      <alignment horizontal="right" vertical="center"/>
    </xf>
    <xf numFmtId="0" fontId="35" fillId="0" borderId="0" xfId="0" applyFont="1"/>
    <xf numFmtId="0" fontId="17" fillId="7" borderId="13" xfId="0" applyFont="1" applyFill="1" applyBorder="1" applyAlignment="1">
      <alignment horizontal="center" vertical="center" wrapText="1"/>
    </xf>
    <xf numFmtId="169" fontId="18" fillId="0" borderId="13" xfId="8" applyNumberFormat="1" applyFont="1" applyBorder="1" applyAlignment="1">
      <alignment horizontal="center" vertical="center"/>
    </xf>
    <xf numFmtId="169" fontId="19" fillId="0" borderId="13" xfId="8" applyNumberFormat="1" applyFont="1" applyBorder="1" applyAlignment="1">
      <alignment horizontal="center" vertical="center"/>
    </xf>
    <xf numFmtId="169" fontId="18" fillId="7" borderId="13" xfId="8" applyNumberFormat="1" applyFont="1" applyFill="1" applyBorder="1" applyAlignment="1">
      <alignment horizontal="center" vertical="center"/>
    </xf>
    <xf numFmtId="0" fontId="18" fillId="0" borderId="0" xfId="0" applyFont="1" applyBorder="1" applyAlignment="1">
      <alignment horizontal="center" vertical="center"/>
    </xf>
    <xf numFmtId="169" fontId="18" fillId="0" borderId="0" xfId="8" applyNumberFormat="1" applyFont="1" applyBorder="1" applyAlignment="1">
      <alignment horizontal="center" vertical="center"/>
    </xf>
    <xf numFmtId="0" fontId="18" fillId="0" borderId="0" xfId="0" applyFont="1" applyBorder="1" applyAlignment="1">
      <alignment horizontal="center" vertical="center" wrapText="1"/>
    </xf>
    <xf numFmtId="169" fontId="35" fillId="0" borderId="0" xfId="0" applyNumberFormat="1" applyFont="1" applyBorder="1"/>
    <xf numFmtId="169" fontId="13" fillId="0" borderId="0" xfId="0" applyNumberFormat="1" applyFont="1" applyBorder="1"/>
    <xf numFmtId="169" fontId="18" fillId="0" borderId="0" xfId="0" applyNumberFormat="1" applyFont="1" applyBorder="1" applyAlignment="1">
      <alignment horizontal="justify" vertical="center" wrapText="1"/>
    </xf>
    <xf numFmtId="169" fontId="13" fillId="0" borderId="0" xfId="8" applyNumberFormat="1" applyFont="1" applyBorder="1"/>
    <xf numFmtId="169" fontId="18" fillId="0" borderId="16" xfId="8" applyNumberFormat="1" applyFont="1" applyBorder="1" applyAlignment="1">
      <alignment horizontal="center" vertical="center"/>
    </xf>
    <xf numFmtId="169" fontId="19" fillId="0" borderId="16" xfId="8" applyNumberFormat="1" applyFont="1" applyBorder="1" applyAlignment="1">
      <alignment horizontal="center" vertical="center"/>
    </xf>
    <xf numFmtId="169" fontId="18" fillId="7" borderId="16" xfId="8" applyNumberFormat="1" applyFont="1" applyFill="1" applyBorder="1" applyAlignment="1">
      <alignment horizontal="center" vertical="center"/>
    </xf>
    <xf numFmtId="0" fontId="19" fillId="0" borderId="10" xfId="0" applyFont="1" applyBorder="1" applyAlignment="1">
      <alignment horizontal="justify" vertical="center" wrapText="1"/>
    </xf>
    <xf numFmtId="169" fontId="18" fillId="0" borderId="10" xfId="0" applyNumberFormat="1" applyFont="1" applyBorder="1" applyAlignment="1">
      <alignment horizontal="center" vertical="center" wrapText="1"/>
    </xf>
    <xf numFmtId="0" fontId="18" fillId="0" borderId="11" xfId="0" applyFont="1" applyBorder="1" applyAlignment="1">
      <alignment horizontal="justify" vertical="center" wrapText="1"/>
    </xf>
    <xf numFmtId="0" fontId="18" fillId="0" borderId="11" xfId="0" applyFont="1" applyBorder="1" applyAlignment="1">
      <alignment horizontal="center" vertical="center"/>
    </xf>
    <xf numFmtId="169" fontId="18" fillId="0" borderId="11" xfId="8" applyNumberFormat="1" applyFont="1" applyBorder="1" applyAlignment="1">
      <alignment horizontal="center" vertical="center"/>
    </xf>
    <xf numFmtId="169" fontId="19" fillId="0" borderId="11" xfId="8" applyNumberFormat="1" applyFont="1" applyBorder="1" applyAlignment="1">
      <alignment horizontal="center" vertical="center"/>
    </xf>
    <xf numFmtId="0" fontId="18" fillId="0" borderId="11" xfId="0" applyFont="1" applyBorder="1" applyAlignment="1">
      <alignment horizontal="center" vertical="center" wrapText="1"/>
    </xf>
    <xf numFmtId="0" fontId="13" fillId="0" borderId="11" xfId="0" applyFont="1" applyBorder="1"/>
    <xf numFmtId="169" fontId="18" fillId="0" borderId="5" xfId="8" applyNumberFormat="1" applyFont="1" applyBorder="1" applyAlignment="1">
      <alignment horizontal="center" vertical="center"/>
    </xf>
    <xf numFmtId="169" fontId="19" fillId="0" borderId="5" xfId="8" applyNumberFormat="1" applyFont="1" applyBorder="1" applyAlignment="1">
      <alignment horizontal="center" vertical="center"/>
    </xf>
    <xf numFmtId="0" fontId="18" fillId="0" borderId="5" xfId="0" applyFont="1" applyBorder="1" applyAlignment="1">
      <alignment horizontal="center" vertical="center" wrapText="1"/>
    </xf>
    <xf numFmtId="169" fontId="18" fillId="7" borderId="5" xfId="8" applyNumberFormat="1" applyFont="1" applyFill="1" applyBorder="1" applyAlignment="1">
      <alignment horizontal="center" vertical="center"/>
    </xf>
    <xf numFmtId="169" fontId="35" fillId="0" borderId="5" xfId="0" applyNumberFormat="1" applyFont="1" applyBorder="1"/>
    <xf numFmtId="169" fontId="13" fillId="0" borderId="5" xfId="0" applyNumberFormat="1" applyFont="1" applyBorder="1"/>
    <xf numFmtId="0" fontId="13" fillId="0" borderId="9" xfId="0" applyFont="1" applyBorder="1"/>
    <xf numFmtId="169" fontId="18" fillId="0" borderId="0" xfId="0" applyNumberFormat="1" applyFont="1" applyBorder="1" applyAlignment="1">
      <alignment horizontal="center" vertical="center" wrapText="1"/>
    </xf>
    <xf numFmtId="0" fontId="19" fillId="7" borderId="0" xfId="0" applyFont="1" applyFill="1" applyBorder="1" applyAlignment="1">
      <alignment horizontal="justify" vertical="center" wrapText="1"/>
    </xf>
    <xf numFmtId="0" fontId="0" fillId="0" borderId="13" xfId="0" applyBorder="1" applyAlignment="1">
      <alignment horizontal="center" vertical="center"/>
    </xf>
    <xf numFmtId="169" fontId="0" fillId="0" borderId="13" xfId="8" applyNumberFormat="1" applyFont="1" applyBorder="1" applyAlignment="1">
      <alignment horizontal="center" vertical="center"/>
    </xf>
    <xf numFmtId="0" fontId="38" fillId="0" borderId="13" xfId="0" applyFont="1" applyBorder="1" applyAlignment="1">
      <alignment horizontal="justify" vertical="top" wrapText="1"/>
    </xf>
    <xf numFmtId="0" fontId="26" fillId="0" borderId="13" xfId="0" applyFont="1" applyBorder="1" applyAlignment="1">
      <alignment horizontal="center"/>
    </xf>
    <xf numFmtId="169" fontId="26" fillId="0" borderId="13" xfId="8" applyNumberFormat="1" applyFont="1" applyBorder="1"/>
    <xf numFmtId="0" fontId="26" fillId="0" borderId="13" xfId="0" applyFont="1" applyBorder="1"/>
    <xf numFmtId="0" fontId="38" fillId="0" borderId="0" xfId="0" applyFont="1" applyBorder="1" applyAlignment="1">
      <alignment horizontal="justify" vertical="top" wrapText="1"/>
    </xf>
    <xf numFmtId="0" fontId="26" fillId="0" borderId="0" xfId="0" applyFont="1" applyBorder="1"/>
    <xf numFmtId="169" fontId="26" fillId="0" borderId="0" xfId="8" applyNumberFormat="1" applyFont="1" applyBorder="1"/>
    <xf numFmtId="169" fontId="26" fillId="0" borderId="4" xfId="8" applyNumberFormat="1" applyFont="1" applyBorder="1"/>
    <xf numFmtId="169" fontId="26" fillId="0" borderId="12" xfId="8" applyNumberFormat="1" applyFont="1" applyBorder="1"/>
    <xf numFmtId="0" fontId="38" fillId="0" borderId="0" xfId="0" applyFont="1" applyAlignment="1">
      <alignment horizontal="justify" vertical="center" wrapText="1"/>
    </xf>
    <xf numFmtId="0" fontId="26" fillId="0" borderId="0" xfId="0" applyFont="1"/>
    <xf numFmtId="0" fontId="26" fillId="0" borderId="4" xfId="0" applyFont="1" applyBorder="1"/>
    <xf numFmtId="0" fontId="26" fillId="0" borderId="12" xfId="0" applyFont="1" applyBorder="1"/>
    <xf numFmtId="169" fontId="0" fillId="0" borderId="0" xfId="0" applyNumberFormat="1" applyBorder="1"/>
    <xf numFmtId="169" fontId="42" fillId="0" borderId="0" xfId="0" applyNumberFormat="1" applyFont="1" applyBorder="1"/>
    <xf numFmtId="167" fontId="45" fillId="2" borderId="0" xfId="0" applyNumberFormat="1" applyFont="1" applyFill="1" applyBorder="1" applyAlignment="1">
      <alignment vertical="center"/>
    </xf>
    <xf numFmtId="0" fontId="2" fillId="0" borderId="0" xfId="0" applyFont="1"/>
    <xf numFmtId="0" fontId="2" fillId="0" borderId="0" xfId="0" applyFont="1" applyAlignment="1">
      <alignment vertical="center" wrapText="1"/>
    </xf>
    <xf numFmtId="0" fontId="46" fillId="0" borderId="0" xfId="0" applyFont="1" applyAlignment="1">
      <alignment vertical="center" wrapText="1"/>
    </xf>
    <xf numFmtId="0" fontId="20" fillId="0" borderId="23" xfId="0" applyFont="1" applyBorder="1" applyAlignment="1">
      <alignment vertical="center"/>
    </xf>
    <xf numFmtId="0" fontId="47" fillId="0" borderId="18" xfId="0" applyFont="1" applyBorder="1" applyAlignment="1">
      <alignment vertical="center"/>
    </xf>
    <xf numFmtId="0" fontId="2" fillId="0" borderId="0" xfId="0" applyFont="1" applyAlignment="1">
      <alignment vertical="center"/>
    </xf>
    <xf numFmtId="0" fontId="20" fillId="0" borderId="0" xfId="0" applyFont="1" applyAlignment="1">
      <alignment vertical="center" wrapText="1"/>
    </xf>
    <xf numFmtId="0" fontId="20" fillId="0" borderId="18" xfId="0" applyFont="1" applyBorder="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47" fillId="0" borderId="2" xfId="0" applyFont="1" applyBorder="1" applyAlignment="1">
      <alignment vertical="center"/>
    </xf>
    <xf numFmtId="0" fontId="47" fillId="0" borderId="31" xfId="0" applyFont="1" applyBorder="1" applyAlignment="1">
      <alignment vertical="center"/>
    </xf>
    <xf numFmtId="0" fontId="2" fillId="0" borderId="18" xfId="0" applyFont="1" applyBorder="1" applyAlignment="1">
      <alignment vertical="center" wrapText="1"/>
    </xf>
    <xf numFmtId="0" fontId="46" fillId="0" borderId="24" xfId="0" applyFont="1" applyBorder="1" applyAlignment="1">
      <alignment vertical="center" wrapText="1"/>
    </xf>
    <xf numFmtId="169" fontId="31" fillId="0" borderId="0" xfId="0" applyNumberFormat="1" applyFont="1"/>
    <xf numFmtId="170" fontId="9" fillId="2" borderId="5" xfId="8" applyNumberFormat="1" applyFont="1" applyFill="1" applyBorder="1" applyAlignment="1">
      <alignment vertical="top"/>
    </xf>
    <xf numFmtId="169" fontId="41" fillId="0" borderId="13" xfId="8" applyNumberFormat="1" applyFont="1" applyBorder="1"/>
    <xf numFmtId="0" fontId="48" fillId="0" borderId="13" xfId="0" applyFont="1" applyBorder="1" applyAlignment="1">
      <alignment horizontal="left" vertical="center"/>
    </xf>
    <xf numFmtId="0" fontId="43" fillId="0" borderId="13" xfId="0" applyFont="1" applyBorder="1"/>
    <xf numFmtId="169" fontId="44" fillId="0" borderId="13" xfId="8" applyNumberFormat="1" applyFont="1" applyBorder="1"/>
    <xf numFmtId="169" fontId="43" fillId="0" borderId="13" xfId="8" applyNumberFormat="1" applyFont="1" applyBorder="1"/>
    <xf numFmtId="0" fontId="44" fillId="0" borderId="13" xfId="0" applyFont="1" applyBorder="1" applyAlignment="1">
      <alignment wrapText="1"/>
    </xf>
    <xf numFmtId="167" fontId="30" fillId="0" borderId="16" xfId="2" applyNumberFormat="1" applyFont="1" applyFill="1" applyBorder="1" applyAlignment="1">
      <alignment horizontal="center" vertical="center" wrapText="1"/>
    </xf>
    <xf numFmtId="167" fontId="30" fillId="0" borderId="10" xfId="2" applyNumberFormat="1" applyFont="1" applyFill="1" applyBorder="1" applyAlignment="1">
      <alignment horizontal="center" vertical="center" wrapText="1"/>
    </xf>
    <xf numFmtId="169" fontId="31" fillId="0" borderId="5" xfId="0" applyNumberFormat="1" applyFont="1" applyBorder="1" applyAlignment="1">
      <alignment horizontal="center" vertical="center" wrapText="1"/>
    </xf>
    <xf numFmtId="169" fontId="31" fillId="0" borderId="8" xfId="0" applyNumberFormat="1" applyFont="1" applyBorder="1" applyAlignment="1">
      <alignment horizontal="center" vertical="center" wrapText="1"/>
    </xf>
    <xf numFmtId="169" fontId="27" fillId="0" borderId="16" xfId="2" applyNumberFormat="1" applyFont="1" applyFill="1" applyBorder="1" applyAlignment="1">
      <alignment horizontal="center" vertical="center" wrapText="1"/>
    </xf>
    <xf numFmtId="169" fontId="27" fillId="0" borderId="10" xfId="2" applyNumberFormat="1" applyFont="1" applyFill="1" applyBorder="1" applyAlignment="1">
      <alignment horizontal="center" vertical="center" wrapText="1"/>
    </xf>
    <xf numFmtId="167" fontId="5" fillId="0" borderId="13" xfId="2" applyNumberFormat="1" applyFont="1" applyFill="1" applyBorder="1" applyAlignment="1">
      <alignment horizontal="center" vertical="center" wrapText="1"/>
    </xf>
    <xf numFmtId="167" fontId="5" fillId="0" borderId="16"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0"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0" xfId="0" applyFont="1" applyBorder="1" applyAlignment="1">
      <alignment horizontal="justify"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8" fillId="0" borderId="13"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7" fillId="0" borderId="0" xfId="0" applyFont="1" applyAlignment="1">
      <alignment horizontal="left" vertical="top"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167" fontId="5" fillId="3" borderId="13" xfId="2" applyNumberFormat="1" applyFont="1" applyFill="1" applyBorder="1" applyAlignment="1">
      <alignment horizontal="left" vertical="center" wrapText="1"/>
    </xf>
    <xf numFmtId="167" fontId="7" fillId="0" borderId="16" xfId="7" applyNumberFormat="1" applyFont="1" applyBorder="1" applyAlignment="1">
      <alignment horizontal="center" vertical="center"/>
    </xf>
    <xf numFmtId="167" fontId="7" fillId="0" borderId="10" xfId="7" applyNumberFormat="1" applyFont="1" applyBorder="1" applyAlignment="1">
      <alignment horizontal="center" vertical="center"/>
    </xf>
    <xf numFmtId="167" fontId="8" fillId="0" borderId="16" xfId="7" applyNumberFormat="1" applyFont="1" applyBorder="1" applyAlignment="1">
      <alignment horizontal="center" vertical="center" wrapText="1"/>
    </xf>
    <xf numFmtId="167" fontId="8" fillId="0" borderId="10" xfId="7" applyNumberFormat="1" applyFont="1" applyBorder="1" applyAlignment="1">
      <alignment horizontal="center" vertical="center" wrapText="1"/>
    </xf>
    <xf numFmtId="167" fontId="7" fillId="0" borderId="16" xfId="8" applyNumberFormat="1" applyFont="1" applyBorder="1" applyAlignment="1">
      <alignment horizontal="center"/>
    </xf>
    <xf numFmtId="167" fontId="7" fillId="0" borderId="10" xfId="8" applyNumberFormat="1" applyFont="1" applyBorder="1" applyAlignment="1">
      <alignment horizontal="center"/>
    </xf>
    <xf numFmtId="167" fontId="7" fillId="0" borderId="16" xfId="0" applyNumberFormat="1" applyFont="1" applyBorder="1" applyAlignment="1">
      <alignment horizontal="center"/>
    </xf>
    <xf numFmtId="167" fontId="7" fillId="0" borderId="10" xfId="0" applyNumberFormat="1" applyFont="1" applyBorder="1" applyAlignment="1">
      <alignment horizontal="center"/>
    </xf>
    <xf numFmtId="0" fontId="0" fillId="0" borderId="0" xfId="0" applyBorder="1" applyAlignment="1">
      <alignment horizontal="left" vertical="top"/>
    </xf>
    <xf numFmtId="167" fontId="5" fillId="2" borderId="13" xfId="2" applyNumberFormat="1" applyFont="1" applyFill="1" applyBorder="1" applyAlignment="1">
      <alignment horizontal="left" vertical="top" wrapText="1"/>
    </xf>
    <xf numFmtId="167" fontId="27" fillId="2" borderId="13" xfId="2" applyNumberFormat="1" applyFont="1" applyFill="1" applyBorder="1" applyAlignment="1">
      <alignment horizontal="left" vertical="top" wrapText="1"/>
    </xf>
    <xf numFmtId="0" fontId="7" fillId="0" borderId="13" xfId="0" applyFont="1" applyBorder="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169" fontId="36" fillId="0" borderId="14" xfId="8" applyNumberFormat="1" applyFont="1" applyBorder="1" applyAlignment="1">
      <alignment horizontal="center" vertical="center" wrapText="1"/>
    </xf>
    <xf numFmtId="169" fontId="36" fillId="0" borderId="11" xfId="8" applyNumberFormat="1" applyFont="1" applyBorder="1" applyAlignment="1">
      <alignment horizontal="center" vertical="center" wrapText="1"/>
    </xf>
    <xf numFmtId="169" fontId="36" fillId="0" borderId="12" xfId="8" applyNumberFormat="1" applyFont="1" applyBorder="1" applyAlignment="1">
      <alignment horizontal="center" vertical="center" wrapText="1"/>
    </xf>
    <xf numFmtId="0" fontId="17" fillId="0" borderId="13" xfId="0" applyFont="1" applyBorder="1" applyAlignment="1">
      <alignment horizontal="center" vertical="center" wrapText="1"/>
    </xf>
    <xf numFmtId="167" fontId="5" fillId="2" borderId="13" xfId="2" applyNumberFormat="1" applyFont="1" applyFill="1" applyBorder="1" applyAlignment="1">
      <alignment horizontal="center" vertical="top" wrapText="1"/>
    </xf>
    <xf numFmtId="167" fontId="5" fillId="2" borderId="0" xfId="2"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7" fontId="5" fillId="2" borderId="14" xfId="2" applyNumberFormat="1" applyFont="1" applyFill="1" applyBorder="1" applyAlignment="1">
      <alignment horizontal="left" vertical="top" wrapText="1"/>
    </xf>
    <xf numFmtId="167" fontId="5" fillId="2" borderId="11" xfId="2" applyNumberFormat="1" applyFont="1" applyFill="1" applyBorder="1" applyAlignment="1">
      <alignment horizontal="left" vertical="top" wrapText="1"/>
    </xf>
    <xf numFmtId="167" fontId="5" fillId="2" borderId="12" xfId="2" applyNumberFormat="1" applyFont="1" applyFill="1" applyBorder="1" applyAlignment="1">
      <alignment horizontal="left" vertical="top" wrapText="1"/>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69" fontId="1" fillId="0" borderId="14" xfId="0" applyNumberFormat="1" applyFont="1" applyBorder="1" applyAlignment="1">
      <alignment horizontal="left" vertical="top"/>
    </xf>
    <xf numFmtId="169" fontId="1" fillId="0" borderId="11" xfId="0" applyNumberFormat="1" applyFont="1" applyBorder="1" applyAlignment="1">
      <alignment horizontal="left" vertical="top"/>
    </xf>
    <xf numFmtId="169" fontId="1" fillId="0" borderId="12" xfId="0" applyNumberFormat="1" applyFont="1" applyBorder="1" applyAlignment="1">
      <alignment horizontal="left" vertical="top"/>
    </xf>
    <xf numFmtId="169" fontId="40" fillId="0" borderId="14" xfId="0" applyNumberFormat="1" applyFont="1" applyBorder="1" applyAlignment="1">
      <alignment horizontal="left"/>
    </xf>
    <xf numFmtId="0" fontId="40" fillId="0" borderId="11" xfId="0" applyFont="1" applyBorder="1" applyAlignment="1">
      <alignment horizontal="left"/>
    </xf>
    <xf numFmtId="0" fontId="40" fillId="0" borderId="12" xfId="0" applyFont="1" applyBorder="1" applyAlignment="1">
      <alignment horizontal="left"/>
    </xf>
    <xf numFmtId="0" fontId="10" fillId="0" borderId="13" xfId="0" applyFont="1" applyBorder="1" applyAlignment="1">
      <alignment horizontal="justify" vertical="center" wrapText="1"/>
    </xf>
    <xf numFmtId="169" fontId="37" fillId="0" borderId="14" xfId="0" applyNumberFormat="1" applyFont="1" applyBorder="1" applyAlignment="1">
      <alignment horizontal="left"/>
    </xf>
    <xf numFmtId="0" fontId="37" fillId="0" borderId="11" xfId="0" applyFont="1" applyBorder="1" applyAlignment="1">
      <alignment horizontal="left"/>
    </xf>
    <xf numFmtId="0" fontId="37" fillId="0" borderId="12" xfId="0" applyFont="1" applyBorder="1" applyAlignment="1">
      <alignment horizontal="left"/>
    </xf>
    <xf numFmtId="0" fontId="39" fillId="0" borderId="1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169" fontId="47" fillId="0" borderId="25" xfId="8" applyNumberFormat="1" applyFont="1" applyBorder="1" applyAlignment="1">
      <alignment horizontal="right" vertical="center"/>
    </xf>
    <xf numFmtId="169" fontId="47" fillId="0" borderId="26" xfId="8" applyNumberFormat="1" applyFont="1" applyBorder="1" applyAlignment="1">
      <alignment horizontal="right" vertical="center"/>
    </xf>
    <xf numFmtId="169" fontId="47" fillId="0" borderId="27" xfId="8" applyNumberFormat="1" applyFont="1" applyBorder="1" applyAlignment="1">
      <alignment horizontal="right" vertical="center"/>
    </xf>
    <xf numFmtId="169" fontId="47" fillId="0" borderId="0" xfId="8" applyNumberFormat="1" applyFont="1" applyBorder="1" applyAlignment="1">
      <alignment horizontal="right"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27" xfId="0" applyFont="1" applyBorder="1" applyAlignment="1">
      <alignment vertical="center" wrapText="1"/>
    </xf>
    <xf numFmtId="3" fontId="20" fillId="0" borderId="23" xfId="0" applyNumberFormat="1" applyFont="1" applyBorder="1" applyAlignment="1">
      <alignment horizontal="right" vertical="center"/>
    </xf>
    <xf numFmtId="3" fontId="20" fillId="0" borderId="18" xfId="0" applyNumberFormat="1" applyFont="1" applyBorder="1" applyAlignment="1">
      <alignment horizontal="right" vertical="center"/>
    </xf>
    <xf numFmtId="3" fontId="20" fillId="0" borderId="24" xfId="0" applyNumberFormat="1" applyFont="1" applyBorder="1" applyAlignment="1">
      <alignment horizontal="right" vertical="center"/>
    </xf>
    <xf numFmtId="0" fontId="2" fillId="0" borderId="26" xfId="0" applyFont="1" applyBorder="1"/>
    <xf numFmtId="0" fontId="46" fillId="0" borderId="0" xfId="0" applyFont="1" applyAlignment="1">
      <alignment vertical="center" wrapText="1"/>
    </xf>
    <xf numFmtId="0" fontId="47" fillId="0" borderId="23" xfId="0" applyFont="1" applyBorder="1" applyAlignment="1">
      <alignment vertical="center" wrapText="1"/>
    </xf>
    <xf numFmtId="0" fontId="47" fillId="0" borderId="18" xfId="0" applyFont="1" applyBorder="1" applyAlignment="1">
      <alignment vertical="center" wrapText="1"/>
    </xf>
    <xf numFmtId="0" fontId="47" fillId="0" borderId="24" xfId="0" applyFont="1" applyBorder="1" applyAlignment="1">
      <alignment vertical="center" wrapText="1"/>
    </xf>
    <xf numFmtId="169" fontId="47" fillId="0" borderId="28" xfId="8" applyNumberFormat="1" applyFont="1" applyBorder="1" applyAlignment="1">
      <alignment horizontal="right" vertical="center"/>
    </xf>
    <xf numFmtId="169" fontId="47" fillId="0" borderId="29" xfId="8" applyNumberFormat="1" applyFont="1" applyBorder="1" applyAlignment="1">
      <alignment horizontal="right" vertical="center"/>
    </xf>
    <xf numFmtId="169" fontId="47" fillId="0" borderId="30" xfId="8" applyNumberFormat="1" applyFont="1" applyBorder="1" applyAlignment="1">
      <alignment horizontal="right" vertical="center"/>
    </xf>
    <xf numFmtId="3" fontId="20" fillId="0" borderId="26" xfId="0" applyNumberFormat="1" applyFont="1" applyBorder="1" applyAlignment="1">
      <alignment horizontal="right" vertical="center"/>
    </xf>
    <xf numFmtId="3" fontId="20" fillId="0" borderId="27" xfId="0" applyNumberFormat="1" applyFont="1" applyBorder="1" applyAlignment="1">
      <alignment horizontal="right" vertical="center"/>
    </xf>
    <xf numFmtId="0" fontId="20" fillId="0" borderId="2" xfId="0" applyFont="1" applyBorder="1" applyAlignment="1">
      <alignment vertical="center"/>
    </xf>
    <xf numFmtId="0" fontId="20" fillId="0" borderId="23" xfId="0" applyFont="1" applyBorder="1" applyAlignment="1">
      <alignment vertical="center"/>
    </xf>
    <xf numFmtId="0" fontId="20" fillId="0" borderId="18" xfId="0" applyFont="1" applyBorder="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0" fontId="20" fillId="0" borderId="1" xfId="0" applyFont="1" applyBorder="1" applyAlignment="1">
      <alignment vertical="center"/>
    </xf>
    <xf numFmtId="0" fontId="20" fillId="0" borderId="31" xfId="0" applyFont="1" applyBorder="1" applyAlignment="1">
      <alignment vertical="center"/>
    </xf>
    <xf numFmtId="0" fontId="2" fillId="0" borderId="18" xfId="0" applyFont="1" applyBorder="1"/>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30" xfId="0" applyFont="1" applyBorder="1" applyAlignment="1">
      <alignment vertical="center"/>
    </xf>
    <xf numFmtId="169" fontId="49" fillId="0" borderId="28" xfId="8" applyNumberFormat="1" applyFont="1" applyBorder="1" applyAlignment="1">
      <alignment horizontal="right" vertical="center"/>
    </xf>
    <xf numFmtId="169" fontId="49" fillId="0" borderId="29" xfId="8" applyNumberFormat="1" applyFont="1" applyBorder="1" applyAlignment="1">
      <alignment horizontal="right" vertical="center"/>
    </xf>
    <xf numFmtId="169" fontId="49" fillId="0" borderId="30" xfId="8" applyNumberFormat="1" applyFont="1" applyBorder="1" applyAlignment="1">
      <alignment horizontal="right" vertical="center"/>
    </xf>
    <xf numFmtId="0" fontId="48" fillId="0" borderId="13" xfId="0" applyFont="1" applyBorder="1" applyAlignment="1">
      <alignment horizontal="left"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17"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8" fillId="0" borderId="14"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7" fillId="0" borderId="13" xfId="0" applyFont="1" applyBorder="1" applyAlignment="1">
      <alignment horizontal="left" vertical="top" wrapText="1"/>
    </xf>
    <xf numFmtId="0" fontId="4" fillId="2" borderId="14" xfId="0" applyFont="1" applyFill="1" applyBorder="1" applyAlignment="1">
      <alignment vertical="center" wrapText="1"/>
    </xf>
    <xf numFmtId="0" fontId="4" fillId="2" borderId="11" xfId="0" applyFont="1" applyFill="1" applyBorder="1" applyAlignment="1">
      <alignment vertical="center" wrapText="1"/>
    </xf>
    <xf numFmtId="167" fontId="4" fillId="2" borderId="11" xfId="8" applyNumberFormat="1" applyFont="1" applyFill="1" applyBorder="1" applyAlignment="1">
      <alignment vertical="center" wrapText="1"/>
    </xf>
    <xf numFmtId="167" fontId="9" fillId="2" borderId="13" xfId="8" applyNumberFormat="1" applyFont="1" applyFill="1" applyBorder="1"/>
    <xf numFmtId="0" fontId="7" fillId="2" borderId="6" xfId="0" applyFont="1" applyFill="1" applyBorder="1"/>
    <xf numFmtId="169" fontId="30" fillId="2" borderId="11" xfId="8" applyNumberFormat="1" applyFont="1" applyFill="1" applyBorder="1" applyAlignment="1">
      <alignment vertical="center" wrapText="1"/>
    </xf>
    <xf numFmtId="169" fontId="28" fillId="2" borderId="0" xfId="8" applyNumberFormat="1" applyFont="1" applyFill="1"/>
    <xf numFmtId="0" fontId="7" fillId="2" borderId="0" xfId="0" applyFont="1" applyFill="1"/>
    <xf numFmtId="169" fontId="5" fillId="2" borderId="0" xfId="8" applyNumberFormat="1" applyFont="1" applyFill="1"/>
    <xf numFmtId="167" fontId="7" fillId="2" borderId="13" xfId="8" applyNumberFormat="1" applyFont="1" applyFill="1" applyBorder="1"/>
    <xf numFmtId="0" fontId="32" fillId="0" borderId="0" xfId="0" applyFont="1" applyBorder="1" applyAlignment="1">
      <alignment vertical="center" wrapText="1"/>
    </xf>
    <xf numFmtId="0" fontId="31" fillId="0" borderId="0" xfId="0" applyFont="1" applyBorder="1" applyAlignment="1">
      <alignment horizontal="left" vertical="center"/>
    </xf>
    <xf numFmtId="0" fontId="6" fillId="2" borderId="13" xfId="0" applyFont="1" applyFill="1" applyBorder="1" applyAlignment="1">
      <alignment horizontal="justify" vertical="center" wrapText="1"/>
    </xf>
    <xf numFmtId="164" fontId="5" fillId="2" borderId="0" xfId="0" applyNumberFormat="1" applyFont="1" applyFill="1" applyBorder="1" applyAlignment="1">
      <alignment vertical="center"/>
    </xf>
    <xf numFmtId="0" fontId="6" fillId="2" borderId="0" xfId="0" applyFont="1" applyFill="1" applyBorder="1"/>
    <xf numFmtId="170" fontId="5" fillId="2" borderId="0" xfId="0" applyNumberFormat="1" applyFont="1" applyFill="1" applyBorder="1" applyAlignment="1">
      <alignment vertical="center"/>
    </xf>
    <xf numFmtId="0" fontId="28" fillId="2" borderId="13" xfId="0" applyFont="1" applyFill="1" applyBorder="1" applyAlignment="1">
      <alignment horizontal="justify" vertical="top" wrapText="1"/>
    </xf>
    <xf numFmtId="0" fontId="7" fillId="0" borderId="5" xfId="0" applyFont="1" applyBorder="1" applyAlignment="1">
      <alignment horizontal="left" vertical="top" wrapText="1"/>
    </xf>
    <xf numFmtId="0" fontId="7" fillId="2" borderId="13" xfId="0" applyFont="1" applyFill="1" applyBorder="1" applyAlignment="1">
      <alignment horizontal="left" vertical="top" wrapText="1"/>
    </xf>
    <xf numFmtId="170" fontId="5" fillId="2" borderId="0" xfId="0" applyNumberFormat="1" applyFont="1" applyFill="1" applyBorder="1" applyAlignment="1">
      <alignment vertical="center" wrapText="1"/>
    </xf>
    <xf numFmtId="0" fontId="7" fillId="2" borderId="14"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cellXfs>
  <cellStyles count="9">
    <cellStyle name="Millares" xfId="7" builtinId="3"/>
    <cellStyle name="Millares 2" xfId="6"/>
    <cellStyle name="Millares 3" xfId="4"/>
    <cellStyle name="Moneda" xfId="8" builtin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0"/>
  <sheetViews>
    <sheetView topLeftCell="A92" zoomScale="120" zoomScaleNormal="120" workbookViewId="0">
      <selection activeCell="D103" sqref="D103"/>
    </sheetView>
  </sheetViews>
  <sheetFormatPr baseColWidth="10" defaultRowHeight="12.75" x14ac:dyDescent="0.2"/>
  <cols>
    <col min="1" max="1" width="21.42578125" style="1" customWidth="1"/>
    <col min="2" max="3" width="11.42578125" style="1"/>
    <col min="4" max="4" width="8" style="1" customWidth="1"/>
    <col min="5" max="7" width="11.42578125" style="117"/>
    <col min="8" max="8" width="19.85546875" style="117" customWidth="1"/>
    <col min="9" max="9" width="4.140625" style="1" customWidth="1"/>
    <col min="10" max="10" width="19.85546875" style="133" customWidth="1"/>
    <col min="11" max="12" width="14.5703125" style="138" customWidth="1"/>
    <col min="13" max="13" width="12" style="1" bestFit="1" customWidth="1"/>
    <col min="14" max="14" width="12.85546875" style="149" bestFit="1" customWidth="1"/>
    <col min="15" max="15" width="16" style="1" customWidth="1"/>
    <col min="16" max="17" width="15.42578125" style="1" customWidth="1"/>
    <col min="18" max="16384" width="11.42578125" style="1"/>
  </cols>
  <sheetData>
    <row r="1" spans="1:14" ht="20.25" customHeight="1" x14ac:dyDescent="0.2">
      <c r="A1" s="256" t="s">
        <v>0</v>
      </c>
      <c r="B1" s="257"/>
      <c r="C1" s="257"/>
      <c r="D1" s="260" t="s">
        <v>8</v>
      </c>
      <c r="E1" s="254" t="s">
        <v>188</v>
      </c>
      <c r="F1" s="254" t="s">
        <v>204</v>
      </c>
      <c r="G1" s="254" t="s">
        <v>205</v>
      </c>
      <c r="H1" s="254" t="s">
        <v>187</v>
      </c>
      <c r="I1" s="7"/>
      <c r="J1" s="248" t="s">
        <v>209</v>
      </c>
      <c r="K1" s="252" t="s">
        <v>210</v>
      </c>
      <c r="L1" s="147"/>
    </row>
    <row r="2" spans="1:14" ht="15.75" customHeight="1" x14ac:dyDescent="0.2">
      <c r="A2" s="258"/>
      <c r="B2" s="259"/>
      <c r="C2" s="259"/>
      <c r="D2" s="265"/>
      <c r="E2" s="255"/>
      <c r="F2" s="255"/>
      <c r="G2" s="255"/>
      <c r="H2" s="255"/>
      <c r="I2" s="7"/>
      <c r="J2" s="249"/>
      <c r="K2" s="253"/>
      <c r="L2" s="147"/>
    </row>
    <row r="3" spans="1:14" x14ac:dyDescent="0.2">
      <c r="A3" s="2"/>
      <c r="B3" s="260" t="s">
        <v>2</v>
      </c>
      <c r="C3" s="260"/>
      <c r="D3" s="260">
        <v>16</v>
      </c>
      <c r="E3" s="91"/>
      <c r="F3" s="91"/>
      <c r="G3" s="91"/>
      <c r="H3" s="92"/>
      <c r="I3" s="8"/>
      <c r="J3" s="128"/>
      <c r="K3" s="137"/>
      <c r="L3" s="148"/>
    </row>
    <row r="4" spans="1:14" ht="13.5" customHeight="1" x14ac:dyDescent="0.2">
      <c r="A4" s="260" t="s">
        <v>7</v>
      </c>
      <c r="B4" s="261" t="s">
        <v>13</v>
      </c>
      <c r="C4" s="261"/>
      <c r="D4" s="260"/>
      <c r="E4" s="93">
        <v>644350</v>
      </c>
      <c r="F4" s="93">
        <f>E4*0.1</f>
        <v>64435</v>
      </c>
      <c r="G4" s="94">
        <v>10310</v>
      </c>
      <c r="H4" s="95">
        <f>SUM(E4:G4)*16</f>
        <v>11505520</v>
      </c>
      <c r="I4" s="66"/>
      <c r="J4" s="129">
        <v>11505520</v>
      </c>
      <c r="K4" s="138">
        <f>J4-H4</f>
        <v>0</v>
      </c>
    </row>
    <row r="5" spans="1:14" ht="12.75" customHeight="1" x14ac:dyDescent="0.2">
      <c r="A5" s="260"/>
      <c r="B5" s="261" t="s">
        <v>14</v>
      </c>
      <c r="C5" s="261"/>
      <c r="D5" s="260"/>
      <c r="E5" s="93">
        <v>74000</v>
      </c>
      <c r="F5" s="93">
        <f t="shared" ref="F5:F6" si="0">E5*0.1</f>
        <v>7400</v>
      </c>
      <c r="G5" s="94">
        <f t="shared" ref="G5" si="1">F5*0.16</f>
        <v>1184</v>
      </c>
      <c r="H5" s="95">
        <f t="shared" ref="H5:H13" si="2">SUM(E5:G5)*16</f>
        <v>1321344</v>
      </c>
      <c r="I5" s="9"/>
      <c r="J5" s="129">
        <v>1321344</v>
      </c>
      <c r="K5" s="138">
        <f t="shared" ref="K5:K7" si="3">J5-H5</f>
        <v>0</v>
      </c>
    </row>
    <row r="6" spans="1:14" x14ac:dyDescent="0.2">
      <c r="A6" s="260"/>
      <c r="B6" s="261" t="s">
        <v>3</v>
      </c>
      <c r="C6" s="261"/>
      <c r="D6" s="260"/>
      <c r="E6" s="96">
        <f>SUM(E4:E5)</f>
        <v>718350</v>
      </c>
      <c r="F6" s="93">
        <f t="shared" si="0"/>
        <v>71835</v>
      </c>
      <c r="G6" s="94">
        <v>11494</v>
      </c>
      <c r="H6" s="95">
        <f t="shared" si="2"/>
        <v>12826864</v>
      </c>
      <c r="I6" s="9"/>
      <c r="J6" s="130">
        <v>12826864</v>
      </c>
      <c r="K6" s="138">
        <f t="shared" si="3"/>
        <v>0</v>
      </c>
    </row>
    <row r="7" spans="1:14" x14ac:dyDescent="0.2">
      <c r="A7" s="260"/>
      <c r="B7" s="4" t="s">
        <v>15</v>
      </c>
      <c r="C7" s="5">
        <v>0.12</v>
      </c>
      <c r="D7" s="260"/>
      <c r="E7" s="97">
        <f>E4*0.12</f>
        <v>77322</v>
      </c>
      <c r="F7" s="97">
        <v>7732</v>
      </c>
      <c r="G7" s="97">
        <v>1237</v>
      </c>
      <c r="H7" s="95">
        <f t="shared" si="2"/>
        <v>1380656</v>
      </c>
      <c r="I7" s="10"/>
      <c r="J7" s="131">
        <v>1380656</v>
      </c>
      <c r="K7" s="138">
        <f t="shared" si="3"/>
        <v>0</v>
      </c>
    </row>
    <row r="8" spans="1:14" x14ac:dyDescent="0.2">
      <c r="A8" s="260"/>
      <c r="B8" s="4" t="s">
        <v>16</v>
      </c>
      <c r="C8" s="5">
        <v>1.044E-2</v>
      </c>
      <c r="D8" s="260"/>
      <c r="E8" s="97">
        <f>E4*C8</f>
        <v>6727.0140000000001</v>
      </c>
      <c r="F8" s="97">
        <v>673</v>
      </c>
      <c r="G8" s="97">
        <v>108</v>
      </c>
      <c r="H8" s="95">
        <f t="shared" si="2"/>
        <v>120128.224</v>
      </c>
      <c r="I8" s="10"/>
      <c r="J8" s="131">
        <v>120128</v>
      </c>
      <c r="K8" s="138">
        <f>J8-H8</f>
        <v>-0.22400000000197906</v>
      </c>
    </row>
    <row r="9" spans="1:14" ht="25.5" x14ac:dyDescent="0.2">
      <c r="A9" s="260"/>
      <c r="B9" s="4" t="s">
        <v>17</v>
      </c>
      <c r="C9" s="5">
        <v>0.04</v>
      </c>
      <c r="D9" s="260"/>
      <c r="E9" s="97">
        <f>E4*0.04</f>
        <v>25774</v>
      </c>
      <c r="F9" s="97">
        <v>2577</v>
      </c>
      <c r="G9" s="97">
        <v>412</v>
      </c>
      <c r="H9" s="95">
        <f t="shared" si="2"/>
        <v>460208</v>
      </c>
      <c r="I9" s="10"/>
      <c r="J9" s="131">
        <v>460208</v>
      </c>
      <c r="K9" s="138">
        <f t="shared" ref="K9:K68" si="4">J9-H9</f>
        <v>0</v>
      </c>
    </row>
    <row r="10" spans="1:14" x14ac:dyDescent="0.2">
      <c r="A10" s="260"/>
      <c r="B10" s="4" t="s">
        <v>18</v>
      </c>
      <c r="C10" s="6" t="s">
        <v>4</v>
      </c>
      <c r="D10" s="260"/>
      <c r="E10" s="97">
        <v>59839</v>
      </c>
      <c r="F10" s="97">
        <f>E10*0.1</f>
        <v>5983.9000000000005</v>
      </c>
      <c r="G10" s="97">
        <f>F10*0.16</f>
        <v>957.42400000000009</v>
      </c>
      <c r="H10" s="95">
        <f t="shared" si="2"/>
        <v>1068485.1839999999</v>
      </c>
      <c r="I10" s="11"/>
      <c r="J10" s="131">
        <v>1068912</v>
      </c>
      <c r="K10" s="138">
        <f t="shared" si="4"/>
        <v>426.81600000010803</v>
      </c>
    </row>
    <row r="11" spans="1:14" x14ac:dyDescent="0.2">
      <c r="A11" s="260"/>
      <c r="B11" s="4" t="s">
        <v>19</v>
      </c>
      <c r="C11" s="5">
        <v>0.01</v>
      </c>
      <c r="D11" s="260"/>
      <c r="E11" s="97">
        <f>E6*0.01</f>
        <v>7183.5</v>
      </c>
      <c r="F11" s="97">
        <f t="shared" ref="F11:F13" si="5">E11*0.1</f>
        <v>718.35</v>
      </c>
      <c r="G11" s="97">
        <f t="shared" ref="G11:G13" si="6">F11*0.16</f>
        <v>114.93600000000001</v>
      </c>
      <c r="H11" s="95">
        <f t="shared" si="2"/>
        <v>128268.576</v>
      </c>
      <c r="I11" s="10"/>
      <c r="J11" s="131">
        <v>128256</v>
      </c>
      <c r="K11" s="138">
        <f t="shared" si="4"/>
        <v>-12.576000000000931</v>
      </c>
    </row>
    <row r="12" spans="1:14" ht="12.75" customHeight="1" x14ac:dyDescent="0.2">
      <c r="A12" s="260"/>
      <c r="B12" s="121" t="s">
        <v>20</v>
      </c>
      <c r="C12" s="122" t="s">
        <v>5</v>
      </c>
      <c r="D12" s="260"/>
      <c r="E12" s="119">
        <f>E6*0.0833</f>
        <v>59838.555</v>
      </c>
      <c r="F12" s="119">
        <f t="shared" si="5"/>
        <v>5983.8555000000006</v>
      </c>
      <c r="G12" s="119">
        <f t="shared" si="6"/>
        <v>957.41688000000011</v>
      </c>
      <c r="H12" s="120">
        <f t="shared" si="2"/>
        <v>1068477.23808</v>
      </c>
      <c r="I12" s="11"/>
      <c r="J12" s="131">
        <v>1068912</v>
      </c>
      <c r="K12" s="138">
        <f t="shared" si="4"/>
        <v>434.76191999996081</v>
      </c>
    </row>
    <row r="13" spans="1:14" x14ac:dyDescent="0.2">
      <c r="A13" s="260"/>
      <c r="B13" s="121" t="s">
        <v>21</v>
      </c>
      <c r="C13" s="122" t="s">
        <v>6</v>
      </c>
      <c r="D13" s="260"/>
      <c r="E13" s="119">
        <f>E4*0.0417</f>
        <v>26869.395</v>
      </c>
      <c r="F13" s="119">
        <f t="shared" si="5"/>
        <v>2686.9395000000004</v>
      </c>
      <c r="G13" s="119">
        <f t="shared" si="6"/>
        <v>429.91032000000007</v>
      </c>
      <c r="H13" s="120">
        <f t="shared" si="2"/>
        <v>479779.91712</v>
      </c>
      <c r="I13" s="67"/>
      <c r="J13" s="131">
        <v>479408</v>
      </c>
      <c r="K13" s="138">
        <f t="shared" si="4"/>
        <v>-371.91711999999825</v>
      </c>
    </row>
    <row r="14" spans="1:14" x14ac:dyDescent="0.2">
      <c r="A14" s="260"/>
      <c r="B14" s="68" t="s">
        <v>10</v>
      </c>
      <c r="C14" s="69"/>
      <c r="D14" s="69"/>
      <c r="E14" s="98">
        <f>SUM(E7:E13)</f>
        <v>263553.46399999998</v>
      </c>
      <c r="F14" s="99">
        <f>SUM(F7:F13)</f>
        <v>26355.045000000002</v>
      </c>
      <c r="G14" s="100">
        <f>SUM(G7:G13)</f>
        <v>4216.6872000000003</v>
      </c>
      <c r="H14" s="101">
        <f>SUM(E14:G14)*16</f>
        <v>4706003.1391999992</v>
      </c>
      <c r="I14" s="9"/>
      <c r="J14" s="132">
        <v>4706480</v>
      </c>
      <c r="K14" s="138">
        <f t="shared" si="4"/>
        <v>476.86080000083894</v>
      </c>
      <c r="N14" s="149">
        <f>H4+SUM(H7:H13)</f>
        <v>16211523.1392</v>
      </c>
    </row>
    <row r="15" spans="1:14" ht="12.75" customHeight="1" x14ac:dyDescent="0.2">
      <c r="A15" s="265" t="s">
        <v>9</v>
      </c>
      <c r="B15" s="268" t="s">
        <v>13</v>
      </c>
      <c r="C15" s="269"/>
      <c r="D15" s="265">
        <v>22</v>
      </c>
      <c r="E15" s="96">
        <f>644350/2</f>
        <v>322175</v>
      </c>
      <c r="F15" s="96">
        <f>E15*0.1</f>
        <v>32217.5</v>
      </c>
      <c r="G15" s="96">
        <f>F15*0.16</f>
        <v>5154.8</v>
      </c>
      <c r="H15" s="96">
        <f>359548*22</f>
        <v>7910056</v>
      </c>
      <c r="I15" s="9"/>
      <c r="J15" s="129">
        <v>7910056</v>
      </c>
      <c r="K15" s="138">
        <f t="shared" si="4"/>
        <v>0</v>
      </c>
    </row>
    <row r="16" spans="1:14" ht="12.75" customHeight="1" x14ac:dyDescent="0.2">
      <c r="A16" s="266"/>
      <c r="B16" s="268" t="s">
        <v>14</v>
      </c>
      <c r="C16" s="269"/>
      <c r="D16" s="266"/>
      <c r="E16" s="96">
        <v>74000</v>
      </c>
      <c r="F16" s="96">
        <f t="shared" ref="F16:F17" si="7">E16*0.1</f>
        <v>7400</v>
      </c>
      <c r="G16" s="96">
        <f t="shared" ref="G16:G17" si="8">F16*0.16</f>
        <v>1184</v>
      </c>
      <c r="H16" s="96">
        <f>SUM(E16:G16)*22</f>
        <v>1816848</v>
      </c>
      <c r="I16" s="9"/>
      <c r="J16" s="129">
        <v>1816848</v>
      </c>
      <c r="K16" s="138">
        <f t="shared" si="4"/>
        <v>0</v>
      </c>
    </row>
    <row r="17" spans="1:14" x14ac:dyDescent="0.2">
      <c r="A17" s="266"/>
      <c r="B17" s="268" t="s">
        <v>3</v>
      </c>
      <c r="C17" s="269"/>
      <c r="D17" s="266"/>
      <c r="E17" s="96">
        <f>SUM(E15:E16)</f>
        <v>396175</v>
      </c>
      <c r="F17" s="96">
        <f t="shared" si="7"/>
        <v>39617.5</v>
      </c>
      <c r="G17" s="96">
        <f t="shared" si="8"/>
        <v>6338.8</v>
      </c>
      <c r="H17" s="96">
        <f>442132*22</f>
        <v>9726904</v>
      </c>
      <c r="I17" s="9"/>
      <c r="J17" s="130">
        <v>9726904</v>
      </c>
      <c r="K17" s="138">
        <f t="shared" si="4"/>
        <v>0</v>
      </c>
    </row>
    <row r="18" spans="1:14" x14ac:dyDescent="0.2">
      <c r="A18" s="266"/>
      <c r="B18" s="4" t="s">
        <v>15</v>
      </c>
      <c r="C18" s="5">
        <v>0.12</v>
      </c>
      <c r="D18" s="266"/>
      <c r="E18" s="97">
        <f t="shared" ref="E18:G20" si="9">E7</f>
        <v>77322</v>
      </c>
      <c r="F18" s="97">
        <f t="shared" si="9"/>
        <v>7732</v>
      </c>
      <c r="G18" s="97">
        <f t="shared" si="9"/>
        <v>1237</v>
      </c>
      <c r="H18" s="102">
        <f>83291*22</f>
        <v>1832402</v>
      </c>
      <c r="I18" s="9"/>
      <c r="J18" s="131">
        <v>1898402</v>
      </c>
      <c r="K18" s="138">
        <f t="shared" si="4"/>
        <v>66000</v>
      </c>
    </row>
    <row r="19" spans="1:14" x14ac:dyDescent="0.2">
      <c r="A19" s="266"/>
      <c r="B19" s="4" t="s">
        <v>16</v>
      </c>
      <c r="C19" s="5">
        <v>10.44</v>
      </c>
      <c r="D19" s="266"/>
      <c r="E19" s="97">
        <f t="shared" si="9"/>
        <v>6727.0140000000001</v>
      </c>
      <c r="F19" s="97">
        <f t="shared" si="9"/>
        <v>673</v>
      </c>
      <c r="G19" s="97">
        <f t="shared" si="9"/>
        <v>108</v>
      </c>
      <c r="H19" s="102">
        <f>7508*22</f>
        <v>165176</v>
      </c>
      <c r="I19" s="9"/>
      <c r="J19" s="131">
        <v>165176</v>
      </c>
      <c r="K19" s="138">
        <f t="shared" si="4"/>
        <v>0</v>
      </c>
    </row>
    <row r="20" spans="1:14" ht="25.5" x14ac:dyDescent="0.2">
      <c r="A20" s="266"/>
      <c r="B20" s="4" t="s">
        <v>17</v>
      </c>
      <c r="C20" s="5">
        <v>0.04</v>
      </c>
      <c r="D20" s="266"/>
      <c r="E20" s="97">
        <f t="shared" si="9"/>
        <v>25774</v>
      </c>
      <c r="F20" s="97">
        <f t="shared" si="9"/>
        <v>2577</v>
      </c>
      <c r="G20" s="97">
        <f t="shared" si="9"/>
        <v>412</v>
      </c>
      <c r="H20" s="102">
        <f>28763*22</f>
        <v>632786</v>
      </c>
      <c r="I20" s="9"/>
      <c r="J20" s="131">
        <v>632786</v>
      </c>
      <c r="K20" s="138">
        <f t="shared" si="4"/>
        <v>0</v>
      </c>
    </row>
    <row r="21" spans="1:14" x14ac:dyDescent="0.2">
      <c r="A21" s="266"/>
      <c r="B21" s="4" t="s">
        <v>18</v>
      </c>
      <c r="C21" s="59" t="s">
        <v>4</v>
      </c>
      <c r="D21" s="266"/>
      <c r="E21" s="97">
        <f>E17*8.33/100</f>
        <v>33001.377500000002</v>
      </c>
      <c r="F21" s="97">
        <f>E21*0.1</f>
        <v>3300.1377500000003</v>
      </c>
      <c r="G21" s="97">
        <f>F21*0.16</f>
        <v>528.02204000000006</v>
      </c>
      <c r="H21" s="97">
        <f>36829*22</f>
        <v>810238</v>
      </c>
      <c r="I21" s="9"/>
      <c r="J21" s="131">
        <v>810590</v>
      </c>
      <c r="K21" s="138">
        <f t="shared" si="4"/>
        <v>352</v>
      </c>
    </row>
    <row r="22" spans="1:14" x14ac:dyDescent="0.2">
      <c r="A22" s="266"/>
      <c r="B22" s="4" t="s">
        <v>19</v>
      </c>
      <c r="C22" s="5">
        <v>0.01</v>
      </c>
      <c r="D22" s="266"/>
      <c r="E22" s="97">
        <f>E17*C22</f>
        <v>3961.75</v>
      </c>
      <c r="F22" s="97">
        <f>E22*0.1</f>
        <v>396.17500000000001</v>
      </c>
      <c r="G22" s="97">
        <f>F22*0.16</f>
        <v>63.388000000000005</v>
      </c>
      <c r="H22" s="97">
        <f>4421*22</f>
        <v>97262</v>
      </c>
      <c r="I22" s="9"/>
      <c r="J22" s="131">
        <v>97262</v>
      </c>
      <c r="K22" s="138">
        <f t="shared" si="4"/>
        <v>0</v>
      </c>
    </row>
    <row r="23" spans="1:14" ht="12.75" customHeight="1" x14ac:dyDescent="0.2">
      <c r="A23" s="266"/>
      <c r="B23" s="270" t="s">
        <v>20</v>
      </c>
      <c r="C23" s="272" t="s">
        <v>5</v>
      </c>
      <c r="D23" s="266"/>
      <c r="E23" s="284">
        <f>396175*0.0833</f>
        <v>33001.377500000002</v>
      </c>
      <c r="F23" s="284">
        <f>E23*0.1</f>
        <v>3300.1377500000003</v>
      </c>
      <c r="G23" s="284">
        <f>F23*0.16</f>
        <v>528.02204000000006</v>
      </c>
      <c r="H23" s="286">
        <f>36829*22</f>
        <v>810238</v>
      </c>
      <c r="I23" s="9"/>
      <c r="J23" s="131">
        <v>810590</v>
      </c>
      <c r="K23" s="138">
        <f t="shared" si="4"/>
        <v>352</v>
      </c>
    </row>
    <row r="24" spans="1:14" x14ac:dyDescent="0.2">
      <c r="A24" s="266"/>
      <c r="B24" s="271"/>
      <c r="C24" s="273"/>
      <c r="D24" s="266"/>
      <c r="E24" s="285"/>
      <c r="F24" s="285"/>
      <c r="G24" s="285"/>
      <c r="H24" s="287"/>
      <c r="I24" s="9"/>
      <c r="K24" s="138">
        <f t="shared" si="4"/>
        <v>0</v>
      </c>
    </row>
    <row r="25" spans="1:14" x14ac:dyDescent="0.2">
      <c r="A25" s="266"/>
      <c r="B25" s="121" t="s">
        <v>21</v>
      </c>
      <c r="C25" s="122" t="s">
        <v>6</v>
      </c>
      <c r="D25" s="267"/>
      <c r="E25" s="123">
        <f>322175*4.17/100</f>
        <v>13434.6975</v>
      </c>
      <c r="F25" s="123">
        <f>E25*0.1</f>
        <v>1343.4697500000002</v>
      </c>
      <c r="G25" s="123">
        <f>F25*0.16</f>
        <v>214.95516000000003</v>
      </c>
      <c r="H25" s="119">
        <f>14993*22</f>
        <v>329846</v>
      </c>
      <c r="I25" s="9"/>
      <c r="J25" s="131">
        <v>329582</v>
      </c>
      <c r="K25" s="138">
        <f t="shared" si="4"/>
        <v>-264</v>
      </c>
    </row>
    <row r="26" spans="1:14" x14ac:dyDescent="0.2">
      <c r="A26" s="267"/>
      <c r="B26" s="68" t="s">
        <v>3</v>
      </c>
      <c r="C26" s="69"/>
      <c r="D26" s="69"/>
      <c r="E26" s="98">
        <f>SUM(E18:E25)</f>
        <v>193222.21650000001</v>
      </c>
      <c r="F26" s="98">
        <f>SUM(F18:F25)</f>
        <v>19321.920249999999</v>
      </c>
      <c r="G26" s="103">
        <f>SUM(G18:G25)</f>
        <v>3091.3872399999996</v>
      </c>
      <c r="H26" s="104">
        <f>SUM(H18:H25)</f>
        <v>4677948</v>
      </c>
      <c r="I26" s="9"/>
      <c r="J26" s="132">
        <v>4744388</v>
      </c>
      <c r="K26" s="138">
        <f t="shared" si="4"/>
        <v>66440</v>
      </c>
      <c r="N26" s="150">
        <f>H15+SUM(H18:H25)</f>
        <v>12588004</v>
      </c>
    </row>
    <row r="27" spans="1:14" ht="24.75" customHeight="1" x14ac:dyDescent="0.2">
      <c r="A27" s="262" t="s">
        <v>207</v>
      </c>
      <c r="B27" s="261" t="s">
        <v>13</v>
      </c>
      <c r="C27" s="261"/>
      <c r="D27" s="260">
        <v>2</v>
      </c>
      <c r="E27" s="105">
        <v>322175</v>
      </c>
      <c r="F27" s="105">
        <v>32217.5</v>
      </c>
      <c r="G27" s="94" t="s">
        <v>206</v>
      </c>
      <c r="H27" s="105">
        <f>354393*2</f>
        <v>708786</v>
      </c>
      <c r="I27" s="9"/>
      <c r="J27" s="129">
        <v>708786</v>
      </c>
      <c r="K27" s="138">
        <f t="shared" si="4"/>
        <v>0</v>
      </c>
    </row>
    <row r="28" spans="1:14" x14ac:dyDescent="0.2">
      <c r="A28" s="263"/>
      <c r="B28" s="261" t="s">
        <v>14</v>
      </c>
      <c r="C28" s="261"/>
      <c r="D28" s="260"/>
      <c r="E28" s="105">
        <v>74000</v>
      </c>
      <c r="F28" s="105">
        <v>7400</v>
      </c>
      <c r="G28" s="94" t="s">
        <v>206</v>
      </c>
      <c r="H28" s="96">
        <f>81400*2</f>
        <v>162800</v>
      </c>
      <c r="I28" s="9"/>
      <c r="J28" s="129">
        <v>162800</v>
      </c>
      <c r="K28" s="138">
        <f t="shared" si="4"/>
        <v>0</v>
      </c>
    </row>
    <row r="29" spans="1:14" ht="24" customHeight="1" x14ac:dyDescent="0.2">
      <c r="A29" s="263"/>
      <c r="B29" s="261" t="s">
        <v>3</v>
      </c>
      <c r="C29" s="261"/>
      <c r="D29" s="260"/>
      <c r="E29" s="105">
        <v>396175</v>
      </c>
      <c r="F29" s="105">
        <v>39617.5</v>
      </c>
      <c r="G29" s="94" t="s">
        <v>206</v>
      </c>
      <c r="H29" s="96">
        <f>SUM(E29:G29)</f>
        <v>435792.5</v>
      </c>
      <c r="I29" s="9"/>
      <c r="J29" s="130">
        <v>871586</v>
      </c>
      <c r="K29" s="138">
        <f t="shared" si="4"/>
        <v>435793.5</v>
      </c>
    </row>
    <row r="30" spans="1:14" x14ac:dyDescent="0.2">
      <c r="A30" s="263"/>
      <c r="B30" s="4" t="s">
        <v>15</v>
      </c>
      <c r="C30" s="5">
        <v>0.12</v>
      </c>
      <c r="D30" s="260"/>
      <c r="E30" s="106">
        <v>77322</v>
      </c>
      <c r="F30" s="106">
        <v>7732</v>
      </c>
      <c r="G30" s="107" t="s">
        <v>206</v>
      </c>
      <c r="H30" s="97">
        <f t="shared" ref="H30:H35" si="10">SUM(E30:G30)*2</f>
        <v>170108</v>
      </c>
      <c r="I30" s="9"/>
      <c r="J30" s="131">
        <v>170108</v>
      </c>
      <c r="K30" s="138">
        <f t="shared" si="4"/>
        <v>0</v>
      </c>
    </row>
    <row r="31" spans="1:14" x14ac:dyDescent="0.2">
      <c r="A31" s="263"/>
      <c r="B31" s="4" t="s">
        <v>16</v>
      </c>
      <c r="C31" s="5">
        <v>10.44</v>
      </c>
      <c r="D31" s="260"/>
      <c r="E31" s="108">
        <v>6727.0140000000001</v>
      </c>
      <c r="F31" s="108">
        <v>673</v>
      </c>
      <c r="G31" s="107" t="s">
        <v>206</v>
      </c>
      <c r="H31" s="97">
        <f t="shared" si="10"/>
        <v>14800.028</v>
      </c>
      <c r="I31" s="12"/>
      <c r="J31" s="131">
        <v>14800</v>
      </c>
      <c r="K31" s="138">
        <f t="shared" si="4"/>
        <v>-2.8000000000247383E-2</v>
      </c>
    </row>
    <row r="32" spans="1:14" ht="24" customHeight="1" x14ac:dyDescent="0.2">
      <c r="A32" s="263"/>
      <c r="B32" s="4" t="s">
        <v>17</v>
      </c>
      <c r="C32" s="5">
        <v>0.04</v>
      </c>
      <c r="D32" s="260"/>
      <c r="E32" s="106">
        <v>25774</v>
      </c>
      <c r="F32" s="106">
        <v>2577</v>
      </c>
      <c r="G32" s="107" t="s">
        <v>206</v>
      </c>
      <c r="H32" s="97">
        <f t="shared" si="10"/>
        <v>56702</v>
      </c>
      <c r="I32" s="9"/>
      <c r="J32" s="131">
        <v>56702</v>
      </c>
      <c r="K32" s="138">
        <f t="shared" si="4"/>
        <v>0</v>
      </c>
    </row>
    <row r="33" spans="1:14" x14ac:dyDescent="0.2">
      <c r="A33" s="263"/>
      <c r="B33" s="4" t="s">
        <v>18</v>
      </c>
      <c r="C33" s="6" t="s">
        <v>4</v>
      </c>
      <c r="D33" s="260"/>
      <c r="E33" s="106">
        <v>33001.377500000002</v>
      </c>
      <c r="F33" s="106">
        <v>3300.1377500000003</v>
      </c>
      <c r="G33" s="107" t="s">
        <v>206</v>
      </c>
      <c r="H33" s="97">
        <f t="shared" si="10"/>
        <v>72603.030500000008</v>
      </c>
      <c r="I33" s="8"/>
      <c r="J33" s="131">
        <v>72634</v>
      </c>
      <c r="K33" s="138">
        <f t="shared" si="4"/>
        <v>30.969499999991967</v>
      </c>
    </row>
    <row r="34" spans="1:14" ht="24" customHeight="1" x14ac:dyDescent="0.2">
      <c r="A34" s="263"/>
      <c r="B34" s="4" t="s">
        <v>19</v>
      </c>
      <c r="C34" s="5">
        <v>0.01</v>
      </c>
      <c r="D34" s="260"/>
      <c r="E34" s="106">
        <v>3961.75</v>
      </c>
      <c r="F34" s="106">
        <v>396.17500000000001</v>
      </c>
      <c r="G34" s="107" t="s">
        <v>206</v>
      </c>
      <c r="H34" s="97">
        <f t="shared" si="10"/>
        <v>8715.85</v>
      </c>
      <c r="I34" s="8"/>
      <c r="J34" s="131">
        <v>8716</v>
      </c>
      <c r="K34" s="138">
        <f t="shared" si="4"/>
        <v>0.1499999999996362</v>
      </c>
    </row>
    <row r="35" spans="1:14" x14ac:dyDescent="0.2">
      <c r="A35" s="263"/>
      <c r="B35" s="261" t="s">
        <v>20</v>
      </c>
      <c r="C35" s="276" t="s">
        <v>5</v>
      </c>
      <c r="D35" s="260"/>
      <c r="E35" s="109">
        <v>33001.377500000002</v>
      </c>
      <c r="F35" s="109">
        <v>3300.1377500000003</v>
      </c>
      <c r="G35" s="107" t="s">
        <v>206</v>
      </c>
      <c r="H35" s="286">
        <f t="shared" si="10"/>
        <v>72603.030500000008</v>
      </c>
      <c r="I35" s="13"/>
      <c r="J35" s="131">
        <v>72634</v>
      </c>
      <c r="K35" s="138">
        <f t="shared" si="4"/>
        <v>30.969499999991967</v>
      </c>
    </row>
    <row r="36" spans="1:14" x14ac:dyDescent="0.2">
      <c r="A36" s="263"/>
      <c r="B36" s="261"/>
      <c r="C36" s="276"/>
      <c r="D36" s="260"/>
      <c r="E36" s="110"/>
      <c r="F36" s="110"/>
      <c r="G36" s="107" t="s">
        <v>206</v>
      </c>
      <c r="H36" s="287"/>
      <c r="I36" s="13"/>
      <c r="K36" s="138">
        <f t="shared" si="4"/>
        <v>0</v>
      </c>
    </row>
    <row r="37" spans="1:14" x14ac:dyDescent="0.2">
      <c r="A37" s="263"/>
      <c r="B37" s="121" t="s">
        <v>21</v>
      </c>
      <c r="C37" s="122" t="s">
        <v>6</v>
      </c>
      <c r="D37" s="260"/>
      <c r="E37" s="110">
        <v>13434.6975</v>
      </c>
      <c r="F37" s="110">
        <v>1343.4697500000002</v>
      </c>
      <c r="G37" s="107" t="s">
        <v>206</v>
      </c>
      <c r="H37" s="119">
        <f>SUM(E37:G37)*2</f>
        <v>29556.334500000001</v>
      </c>
      <c r="I37" s="13"/>
      <c r="J37" s="131">
        <v>29532</v>
      </c>
      <c r="K37" s="138">
        <f t="shared" si="4"/>
        <v>-24.334500000000844</v>
      </c>
    </row>
    <row r="38" spans="1:14" ht="14.25" customHeight="1" x14ac:dyDescent="0.2">
      <c r="A38" s="264"/>
      <c r="B38" s="68" t="s">
        <v>3</v>
      </c>
      <c r="C38" s="69"/>
      <c r="D38" s="69"/>
      <c r="E38" s="98">
        <f>SUM(E30:E37)</f>
        <v>193222.21650000001</v>
      </c>
      <c r="F38" s="98">
        <f>SUM(F30:F37)</f>
        <v>19321.920249999999</v>
      </c>
      <c r="G38" s="103"/>
      <c r="H38" s="104">
        <f>SUM(H30:H37)</f>
        <v>425088.27349999995</v>
      </c>
      <c r="I38" s="13"/>
      <c r="J38" s="132">
        <v>425126</v>
      </c>
      <c r="K38" s="138">
        <f t="shared" si="4"/>
        <v>37.726500000047963</v>
      </c>
      <c r="N38" s="149">
        <f>H27+SUM(H30:H37)</f>
        <v>1133874.2734999999</v>
      </c>
    </row>
    <row r="39" spans="1:14" x14ac:dyDescent="0.2">
      <c r="A39" s="278" t="s">
        <v>1</v>
      </c>
      <c r="B39" s="261" t="s">
        <v>13</v>
      </c>
      <c r="C39" s="261"/>
      <c r="D39" s="274">
        <v>1</v>
      </c>
      <c r="E39" s="111">
        <v>900000</v>
      </c>
      <c r="F39" s="111">
        <f>E39*0.1</f>
        <v>90000</v>
      </c>
      <c r="G39" s="111">
        <f>F39*0.16</f>
        <v>14400</v>
      </c>
      <c r="H39" s="112">
        <f>SUM(E39:G39)</f>
        <v>1004400</v>
      </c>
      <c r="I39" s="13"/>
      <c r="J39" s="131">
        <v>1004400</v>
      </c>
      <c r="K39" s="138">
        <f t="shared" si="4"/>
        <v>0</v>
      </c>
    </row>
    <row r="40" spans="1:14" x14ac:dyDescent="0.2">
      <c r="A40" s="278"/>
      <c r="B40" s="261" t="s">
        <v>14</v>
      </c>
      <c r="C40" s="261"/>
      <c r="D40" s="275"/>
      <c r="E40" s="111">
        <v>74000</v>
      </c>
      <c r="F40" s="111">
        <f>E40*0.1</f>
        <v>7400</v>
      </c>
      <c r="G40" s="111">
        <f>F40*0.16</f>
        <v>1184</v>
      </c>
      <c r="H40" s="112">
        <f t="shared" ref="H40:H49" si="11">SUM(E40:G40)</f>
        <v>82584</v>
      </c>
      <c r="I40" s="13"/>
      <c r="J40" s="131">
        <v>82584</v>
      </c>
      <c r="K40" s="138">
        <f t="shared" si="4"/>
        <v>0</v>
      </c>
    </row>
    <row r="41" spans="1:14" x14ac:dyDescent="0.2">
      <c r="A41" s="278"/>
      <c r="B41" s="261" t="s">
        <v>3</v>
      </c>
      <c r="C41" s="261"/>
      <c r="D41" s="275"/>
      <c r="E41" s="111">
        <f>SUM(E39:E40)</f>
        <v>974000</v>
      </c>
      <c r="F41" s="111">
        <f>SUM(F39:F40)</f>
        <v>97400</v>
      </c>
      <c r="G41" s="111">
        <f>SUM(G39:G40)</f>
        <v>15584</v>
      </c>
      <c r="H41" s="112">
        <f t="shared" si="11"/>
        <v>1086984</v>
      </c>
      <c r="I41" s="13"/>
      <c r="J41" s="130">
        <v>1086984</v>
      </c>
      <c r="K41" s="138">
        <f t="shared" si="4"/>
        <v>0</v>
      </c>
    </row>
    <row r="42" spans="1:14" x14ac:dyDescent="0.2">
      <c r="A42" s="278"/>
      <c r="B42" s="4" t="s">
        <v>15</v>
      </c>
      <c r="C42" s="5">
        <v>0.12</v>
      </c>
      <c r="D42" s="275"/>
      <c r="E42" s="113">
        <f>E39*0.12</f>
        <v>108000</v>
      </c>
      <c r="F42" s="113">
        <f>E42*0.1</f>
        <v>10800</v>
      </c>
      <c r="G42" s="113">
        <f>F42*0.16</f>
        <v>1728</v>
      </c>
      <c r="H42" s="110">
        <f t="shared" si="11"/>
        <v>120528</v>
      </c>
      <c r="I42" s="13"/>
      <c r="J42" s="131">
        <v>120528</v>
      </c>
      <c r="K42" s="138">
        <f t="shared" si="4"/>
        <v>0</v>
      </c>
    </row>
    <row r="43" spans="1:14" x14ac:dyDescent="0.2">
      <c r="A43" s="278"/>
      <c r="B43" s="4" t="s">
        <v>16</v>
      </c>
      <c r="C43" s="5">
        <v>10.44</v>
      </c>
      <c r="D43" s="275"/>
      <c r="E43" s="113">
        <f>E39*1.044/100</f>
        <v>9396</v>
      </c>
      <c r="F43" s="113">
        <f>E43*0.1</f>
        <v>939.6</v>
      </c>
      <c r="G43" s="113">
        <f>F43*0.16</f>
        <v>150.33600000000001</v>
      </c>
      <c r="H43" s="110">
        <f t="shared" si="11"/>
        <v>10485.936</v>
      </c>
      <c r="I43" s="13"/>
      <c r="J43" s="131">
        <v>10486</v>
      </c>
      <c r="K43" s="138">
        <f t="shared" si="4"/>
        <v>6.400000000030559E-2</v>
      </c>
    </row>
    <row r="44" spans="1:14" ht="24" customHeight="1" x14ac:dyDescent="0.2">
      <c r="A44" s="278"/>
      <c r="B44" s="4" t="s">
        <v>17</v>
      </c>
      <c r="C44" s="5">
        <v>0.04</v>
      </c>
      <c r="D44" s="275"/>
      <c r="E44" s="113">
        <f>E39*0.04</f>
        <v>36000</v>
      </c>
      <c r="F44" s="113">
        <f>E44*0.1</f>
        <v>3600</v>
      </c>
      <c r="G44" s="113">
        <f t="shared" ref="G44:G47" si="12">F44*0.16</f>
        <v>576</v>
      </c>
      <c r="H44" s="110">
        <f t="shared" si="11"/>
        <v>40176</v>
      </c>
      <c r="I44" s="13"/>
      <c r="J44" s="131">
        <v>40176</v>
      </c>
      <c r="K44" s="138">
        <f t="shared" si="4"/>
        <v>0</v>
      </c>
    </row>
    <row r="45" spans="1:14" x14ac:dyDescent="0.2">
      <c r="A45" s="278"/>
      <c r="B45" s="4" t="s">
        <v>18</v>
      </c>
      <c r="C45" s="6" t="s">
        <v>4</v>
      </c>
      <c r="D45" s="275"/>
      <c r="E45" s="113">
        <f>E41*0.0833</f>
        <v>81134.2</v>
      </c>
      <c r="F45" s="113">
        <f t="shared" ref="F45:F49" si="13">E45*0.1</f>
        <v>8113.42</v>
      </c>
      <c r="G45" s="113">
        <f t="shared" si="12"/>
        <v>1298.1472000000001</v>
      </c>
      <c r="H45" s="110">
        <f t="shared" si="11"/>
        <v>90545.767200000002</v>
      </c>
      <c r="I45" s="13"/>
      <c r="J45" s="131">
        <v>90583</v>
      </c>
      <c r="K45" s="138">
        <f t="shared" si="4"/>
        <v>37.232799999997951</v>
      </c>
    </row>
    <row r="46" spans="1:14" x14ac:dyDescent="0.2">
      <c r="A46" s="278"/>
      <c r="B46" s="4" t="s">
        <v>19</v>
      </c>
      <c r="C46" s="5">
        <v>0.01</v>
      </c>
      <c r="D46" s="275"/>
      <c r="E46" s="113">
        <f>E41*0.01</f>
        <v>9740</v>
      </c>
      <c r="F46" s="113">
        <f t="shared" si="13"/>
        <v>974</v>
      </c>
      <c r="G46" s="113">
        <f t="shared" si="12"/>
        <v>155.84</v>
      </c>
      <c r="H46" s="110">
        <f t="shared" si="11"/>
        <v>10869.84</v>
      </c>
      <c r="I46" s="13"/>
      <c r="J46" s="131">
        <v>10870</v>
      </c>
      <c r="K46" s="138">
        <f t="shared" si="4"/>
        <v>0.15999999999985448</v>
      </c>
    </row>
    <row r="47" spans="1:14" x14ac:dyDescent="0.2">
      <c r="A47" s="278"/>
      <c r="B47" s="261" t="s">
        <v>20</v>
      </c>
      <c r="C47" s="276" t="s">
        <v>5</v>
      </c>
      <c r="D47" s="275"/>
      <c r="E47" s="288">
        <f>E41*0.0833</f>
        <v>81134.2</v>
      </c>
      <c r="F47" s="288">
        <f t="shared" si="13"/>
        <v>8113.42</v>
      </c>
      <c r="G47" s="288">
        <f t="shared" si="12"/>
        <v>1298.1472000000001</v>
      </c>
      <c r="H47" s="290">
        <f t="shared" si="11"/>
        <v>90545.767200000002</v>
      </c>
      <c r="I47" s="13"/>
      <c r="K47" s="138">
        <f t="shared" si="4"/>
        <v>-90545.767200000002</v>
      </c>
    </row>
    <row r="48" spans="1:14" ht="16.5" customHeight="1" x14ac:dyDescent="0.2">
      <c r="A48" s="278"/>
      <c r="B48" s="261"/>
      <c r="C48" s="276"/>
      <c r="D48" s="275"/>
      <c r="E48" s="289"/>
      <c r="F48" s="289"/>
      <c r="G48" s="289"/>
      <c r="H48" s="291"/>
      <c r="I48" s="13"/>
      <c r="J48" s="131">
        <v>90583</v>
      </c>
      <c r="K48" s="138">
        <f t="shared" si="4"/>
        <v>90583</v>
      </c>
    </row>
    <row r="49" spans="1:14" ht="16.5" customHeight="1" x14ac:dyDescent="0.2">
      <c r="A49" s="278"/>
      <c r="B49" s="3" t="s">
        <v>21</v>
      </c>
      <c r="C49" s="6" t="s">
        <v>6</v>
      </c>
      <c r="D49" s="275"/>
      <c r="E49" s="113">
        <f>E39*0.0417</f>
        <v>37530</v>
      </c>
      <c r="F49" s="113">
        <f t="shared" si="13"/>
        <v>3753</v>
      </c>
      <c r="G49" s="113">
        <f>F49*0.16</f>
        <v>600.48</v>
      </c>
      <c r="H49" s="110">
        <f t="shared" si="11"/>
        <v>41883.480000000003</v>
      </c>
      <c r="I49" s="13"/>
      <c r="J49" s="131">
        <v>41850</v>
      </c>
      <c r="K49" s="138">
        <f t="shared" si="4"/>
        <v>-33.480000000003201</v>
      </c>
    </row>
    <row r="50" spans="1:14" x14ac:dyDescent="0.2">
      <c r="A50" s="278"/>
      <c r="B50" s="68" t="s">
        <v>10</v>
      </c>
      <c r="C50" s="69"/>
      <c r="D50" s="69"/>
      <c r="E50" s="114">
        <f>SUM(E42:E49)</f>
        <v>362934.4</v>
      </c>
      <c r="F50" s="114">
        <f>SUM(F42:F49)</f>
        <v>36293.440000000002</v>
      </c>
      <c r="G50" s="115">
        <f>F50*0.16</f>
        <v>5806.9504000000006</v>
      </c>
      <c r="H50" s="116">
        <v>405035</v>
      </c>
      <c r="I50" s="13"/>
      <c r="J50" s="134">
        <v>405076</v>
      </c>
      <c r="K50" s="138">
        <f t="shared" si="4"/>
        <v>41</v>
      </c>
      <c r="N50" s="149">
        <f>H39+SUM(H42:H49)</f>
        <v>1409434.7904000001</v>
      </c>
    </row>
    <row r="51" spans="1:14" ht="16.5" customHeight="1" x14ac:dyDescent="0.2">
      <c r="A51" s="277" t="s">
        <v>11</v>
      </c>
      <c r="B51" s="261" t="s">
        <v>13</v>
      </c>
      <c r="C51" s="261"/>
      <c r="D51" s="274">
        <v>1</v>
      </c>
      <c r="E51" s="111">
        <v>900000</v>
      </c>
      <c r="F51" s="111">
        <f>E51*0.1</f>
        <v>90000</v>
      </c>
      <c r="G51" s="111">
        <f>F51*0.16</f>
        <v>14400</v>
      </c>
      <c r="H51" s="112">
        <f>SUM(E51:G51)</f>
        <v>1004400</v>
      </c>
      <c r="I51" s="13"/>
      <c r="J51" s="131">
        <v>1004400</v>
      </c>
      <c r="K51" s="138">
        <f t="shared" si="4"/>
        <v>0</v>
      </c>
    </row>
    <row r="52" spans="1:14" x14ac:dyDescent="0.2">
      <c r="A52" s="277"/>
      <c r="B52" s="261" t="s">
        <v>14</v>
      </c>
      <c r="C52" s="261"/>
      <c r="D52" s="275"/>
      <c r="E52" s="111">
        <v>74000</v>
      </c>
      <c r="F52" s="111">
        <f>E52*0.1</f>
        <v>7400</v>
      </c>
      <c r="G52" s="111">
        <f>F52*0.16</f>
        <v>1184</v>
      </c>
      <c r="H52" s="112">
        <f t="shared" ref="H52:H59" si="14">SUM(E52:G52)</f>
        <v>82584</v>
      </c>
      <c r="I52" s="13"/>
      <c r="J52" s="131">
        <v>82584</v>
      </c>
      <c r="K52" s="138">
        <f t="shared" si="4"/>
        <v>0</v>
      </c>
    </row>
    <row r="53" spans="1:14" ht="15" customHeight="1" x14ac:dyDescent="0.2">
      <c r="A53" s="277"/>
      <c r="B53" s="261" t="s">
        <v>3</v>
      </c>
      <c r="C53" s="261"/>
      <c r="D53" s="275"/>
      <c r="E53" s="111">
        <f>SUM(E51:E52)</f>
        <v>974000</v>
      </c>
      <c r="F53" s="111">
        <f>SUM(F51:F52)</f>
        <v>97400</v>
      </c>
      <c r="G53" s="111">
        <f>SUM(G51:G52)</f>
        <v>15584</v>
      </c>
      <c r="H53" s="112">
        <f t="shared" si="14"/>
        <v>1086984</v>
      </c>
      <c r="I53" s="13"/>
      <c r="J53" s="130">
        <v>1086984</v>
      </c>
      <c r="K53" s="138">
        <f t="shared" si="4"/>
        <v>0</v>
      </c>
    </row>
    <row r="54" spans="1:14" x14ac:dyDescent="0.2">
      <c r="A54" s="277"/>
      <c r="B54" s="4" t="s">
        <v>15</v>
      </c>
      <c r="C54" s="5">
        <v>0.12</v>
      </c>
      <c r="D54" s="275"/>
      <c r="E54" s="113">
        <f>E51*0.12</f>
        <v>108000</v>
      </c>
      <c r="F54" s="113">
        <f>E54*0.1</f>
        <v>10800</v>
      </c>
      <c r="G54" s="113">
        <f>F54*0.16</f>
        <v>1728</v>
      </c>
      <c r="H54" s="110">
        <f t="shared" si="14"/>
        <v>120528</v>
      </c>
      <c r="I54" s="13"/>
      <c r="J54" s="131">
        <v>120528</v>
      </c>
      <c r="K54" s="138">
        <f t="shared" si="4"/>
        <v>0</v>
      </c>
    </row>
    <row r="55" spans="1:14" x14ac:dyDescent="0.2">
      <c r="A55" s="277"/>
      <c r="B55" s="4" t="s">
        <v>16</v>
      </c>
      <c r="C55" s="5">
        <v>10.44</v>
      </c>
      <c r="D55" s="275"/>
      <c r="E55" s="113">
        <f>E51*1.044/100</f>
        <v>9396</v>
      </c>
      <c r="F55" s="113">
        <f>E55*0.1</f>
        <v>939.6</v>
      </c>
      <c r="G55" s="113">
        <f>F55*0.16</f>
        <v>150.33600000000001</v>
      </c>
      <c r="H55" s="110">
        <f t="shared" si="14"/>
        <v>10485.936</v>
      </c>
      <c r="I55" s="13"/>
      <c r="J55" s="131">
        <v>10486</v>
      </c>
      <c r="K55" s="138">
        <f t="shared" si="4"/>
        <v>6.400000000030559E-2</v>
      </c>
    </row>
    <row r="56" spans="1:14" ht="25.5" x14ac:dyDescent="0.2">
      <c r="A56" s="277"/>
      <c r="B56" s="4" t="s">
        <v>17</v>
      </c>
      <c r="C56" s="5">
        <v>0.04</v>
      </c>
      <c r="D56" s="275"/>
      <c r="E56" s="113">
        <f>E51*0.04</f>
        <v>36000</v>
      </c>
      <c r="F56" s="113">
        <f>E56*0.1</f>
        <v>3600</v>
      </c>
      <c r="G56" s="113">
        <f t="shared" ref="G56:G59" si="15">F56*0.16</f>
        <v>576</v>
      </c>
      <c r="H56" s="110">
        <f t="shared" si="14"/>
        <v>40176</v>
      </c>
      <c r="I56" s="13"/>
      <c r="J56" s="131">
        <v>40176</v>
      </c>
      <c r="K56" s="138">
        <f t="shared" si="4"/>
        <v>0</v>
      </c>
    </row>
    <row r="57" spans="1:14" x14ac:dyDescent="0.2">
      <c r="A57" s="277"/>
      <c r="B57" s="4" t="s">
        <v>18</v>
      </c>
      <c r="C57" s="6" t="s">
        <v>4</v>
      </c>
      <c r="D57" s="275"/>
      <c r="E57" s="113">
        <f>E53*0.0833</f>
        <v>81134.2</v>
      </c>
      <c r="F57" s="113">
        <f t="shared" ref="F57:F61" si="16">E57*0.1</f>
        <v>8113.42</v>
      </c>
      <c r="G57" s="113">
        <f t="shared" si="15"/>
        <v>1298.1472000000001</v>
      </c>
      <c r="H57" s="110">
        <f t="shared" si="14"/>
        <v>90545.767200000002</v>
      </c>
      <c r="I57" s="13"/>
      <c r="J57" s="131">
        <v>90583</v>
      </c>
      <c r="K57" s="138">
        <f t="shared" si="4"/>
        <v>37.232799999997951</v>
      </c>
    </row>
    <row r="58" spans="1:14" ht="30" customHeight="1" x14ac:dyDescent="0.2">
      <c r="A58" s="277"/>
      <c r="B58" s="4" t="s">
        <v>19</v>
      </c>
      <c r="C58" s="5">
        <v>0.01</v>
      </c>
      <c r="D58" s="275"/>
      <c r="E58" s="113">
        <f>E53*0.01</f>
        <v>9740</v>
      </c>
      <c r="F58" s="113">
        <f t="shared" si="16"/>
        <v>974</v>
      </c>
      <c r="G58" s="113">
        <f t="shared" si="15"/>
        <v>155.84</v>
      </c>
      <c r="H58" s="110">
        <f t="shared" si="14"/>
        <v>10869.84</v>
      </c>
      <c r="I58" s="13"/>
      <c r="J58" s="131">
        <v>10870</v>
      </c>
      <c r="K58" s="138">
        <f t="shared" si="4"/>
        <v>0.15999999999985448</v>
      </c>
    </row>
    <row r="59" spans="1:14" ht="15" customHeight="1" x14ac:dyDescent="0.2">
      <c r="A59" s="277"/>
      <c r="B59" s="261" t="s">
        <v>20</v>
      </c>
      <c r="C59" s="276" t="s">
        <v>5</v>
      </c>
      <c r="D59" s="275"/>
      <c r="E59" s="288">
        <f>E53*0.0833</f>
        <v>81134.2</v>
      </c>
      <c r="F59" s="288">
        <f t="shared" si="16"/>
        <v>8113.42</v>
      </c>
      <c r="G59" s="288">
        <f t="shared" si="15"/>
        <v>1298.1472000000001</v>
      </c>
      <c r="H59" s="290">
        <f t="shared" si="14"/>
        <v>90545.767200000002</v>
      </c>
      <c r="I59" s="13"/>
      <c r="J59" s="250">
        <v>90583</v>
      </c>
      <c r="K59" s="138">
        <f t="shared" si="4"/>
        <v>37.232799999997951</v>
      </c>
    </row>
    <row r="60" spans="1:14" x14ac:dyDescent="0.2">
      <c r="A60" s="277"/>
      <c r="B60" s="261"/>
      <c r="C60" s="276"/>
      <c r="D60" s="275"/>
      <c r="E60" s="289"/>
      <c r="F60" s="289"/>
      <c r="G60" s="289"/>
      <c r="H60" s="291"/>
      <c r="I60" s="13"/>
      <c r="J60" s="251"/>
      <c r="K60" s="138">
        <f t="shared" si="4"/>
        <v>0</v>
      </c>
    </row>
    <row r="61" spans="1:14" x14ac:dyDescent="0.2">
      <c r="A61" s="277"/>
      <c r="B61" s="121" t="s">
        <v>21</v>
      </c>
      <c r="C61" s="122" t="s">
        <v>6</v>
      </c>
      <c r="D61" s="275"/>
      <c r="E61" s="124">
        <f>E51*0.0417</f>
        <v>37530</v>
      </c>
      <c r="F61" s="124">
        <f t="shared" si="16"/>
        <v>3753</v>
      </c>
      <c r="G61" s="124">
        <f>F61*0.16</f>
        <v>600.48</v>
      </c>
      <c r="H61" s="125">
        <f t="shared" ref="H61" si="17">SUM(E61:G61)</f>
        <v>41883.480000000003</v>
      </c>
      <c r="I61" s="13"/>
      <c r="J61" s="131">
        <v>41850</v>
      </c>
      <c r="K61" s="138">
        <f t="shared" si="4"/>
        <v>-33.480000000003201</v>
      </c>
    </row>
    <row r="62" spans="1:14" x14ac:dyDescent="0.2">
      <c r="A62" s="277"/>
      <c r="B62" s="68" t="s">
        <v>10</v>
      </c>
      <c r="C62" s="69"/>
      <c r="D62" s="69"/>
      <c r="E62" s="114">
        <f>SUM(E54:E61)</f>
        <v>362934.4</v>
      </c>
      <c r="F62" s="114">
        <f>SUM(F54:F61)</f>
        <v>36293.440000000002</v>
      </c>
      <c r="G62" s="115">
        <f>F62*0.16</f>
        <v>5806.9504000000006</v>
      </c>
      <c r="H62" s="116">
        <v>405035</v>
      </c>
      <c r="I62" s="13"/>
      <c r="J62" s="134">
        <v>405076</v>
      </c>
      <c r="K62" s="138">
        <f t="shared" si="4"/>
        <v>41</v>
      </c>
      <c r="N62" s="149">
        <f>H51+SUM(H54:H61)</f>
        <v>1409434.7904000001</v>
      </c>
    </row>
    <row r="63" spans="1:14" x14ac:dyDescent="0.2">
      <c r="A63" s="277" t="s">
        <v>12</v>
      </c>
      <c r="B63" s="261" t="s">
        <v>13</v>
      </c>
      <c r="C63" s="261"/>
      <c r="D63" s="274">
        <v>1</v>
      </c>
      <c r="E63" s="111">
        <v>750000</v>
      </c>
      <c r="F63" s="111">
        <f>E63*0.1</f>
        <v>75000</v>
      </c>
      <c r="G63" s="111">
        <f>F63*0.16</f>
        <v>12000</v>
      </c>
      <c r="H63" s="111">
        <f>SUM(E63:G63)</f>
        <v>837000</v>
      </c>
      <c r="I63" s="13"/>
      <c r="J63" s="131">
        <v>837000</v>
      </c>
      <c r="K63" s="138">
        <f t="shared" si="4"/>
        <v>0</v>
      </c>
    </row>
    <row r="64" spans="1:14" x14ac:dyDescent="0.2">
      <c r="A64" s="277"/>
      <c r="B64" s="261" t="s">
        <v>14</v>
      </c>
      <c r="C64" s="261"/>
      <c r="D64" s="275"/>
      <c r="E64" s="111">
        <v>74000</v>
      </c>
      <c r="F64" s="111">
        <f t="shared" ref="F64:F65" si="18">E64*0.1</f>
        <v>7400</v>
      </c>
      <c r="G64" s="111">
        <f t="shared" ref="G64:G65" si="19">F64*0.16</f>
        <v>1184</v>
      </c>
      <c r="H64" s="111">
        <f t="shared" ref="H64:H73" si="20">SUM(E64:G64)</f>
        <v>82584</v>
      </c>
      <c r="I64" s="13"/>
      <c r="J64" s="131">
        <v>82584</v>
      </c>
      <c r="K64" s="138">
        <f t="shared" si="4"/>
        <v>0</v>
      </c>
    </row>
    <row r="65" spans="1:15" x14ac:dyDescent="0.2">
      <c r="A65" s="277"/>
      <c r="B65" s="261" t="s">
        <v>3</v>
      </c>
      <c r="C65" s="261"/>
      <c r="D65" s="275"/>
      <c r="E65" s="111">
        <f>SUM(E63:E64)</f>
        <v>824000</v>
      </c>
      <c r="F65" s="111">
        <f t="shared" si="18"/>
        <v>82400</v>
      </c>
      <c r="G65" s="111">
        <f t="shared" si="19"/>
        <v>13184</v>
      </c>
      <c r="H65" s="111">
        <f t="shared" si="20"/>
        <v>919584</v>
      </c>
      <c r="I65" s="13"/>
      <c r="J65" s="130">
        <v>919584</v>
      </c>
      <c r="K65" s="138">
        <f t="shared" si="4"/>
        <v>0</v>
      </c>
    </row>
    <row r="66" spans="1:15" x14ac:dyDescent="0.2">
      <c r="A66" s="277"/>
      <c r="B66" s="4" t="s">
        <v>15</v>
      </c>
      <c r="C66" s="5">
        <v>0.12</v>
      </c>
      <c r="D66" s="275"/>
      <c r="E66" s="113">
        <f>E63*0.12</f>
        <v>90000</v>
      </c>
      <c r="F66" s="113">
        <f t="shared" ref="F66:F71" si="21">E66*0.1</f>
        <v>9000</v>
      </c>
      <c r="G66" s="113">
        <f>F66*0.16</f>
        <v>1440</v>
      </c>
      <c r="H66" s="113">
        <f t="shared" si="20"/>
        <v>100440</v>
      </c>
      <c r="I66" s="13"/>
      <c r="J66" s="131">
        <v>100440</v>
      </c>
      <c r="K66" s="138">
        <f t="shared" si="4"/>
        <v>0</v>
      </c>
    </row>
    <row r="67" spans="1:15" x14ac:dyDescent="0.2">
      <c r="A67" s="277"/>
      <c r="B67" s="4" t="s">
        <v>16</v>
      </c>
      <c r="C67" s="5">
        <v>10.44</v>
      </c>
      <c r="D67" s="275"/>
      <c r="E67" s="113">
        <f>E63*1.044/100</f>
        <v>7830</v>
      </c>
      <c r="F67" s="113">
        <f t="shared" si="21"/>
        <v>783</v>
      </c>
      <c r="G67" s="113">
        <f>F67*0.16</f>
        <v>125.28</v>
      </c>
      <c r="H67" s="113">
        <f t="shared" si="20"/>
        <v>8738.2800000000007</v>
      </c>
      <c r="I67" s="13"/>
      <c r="J67" s="131">
        <v>8738</v>
      </c>
      <c r="K67" s="138">
        <f t="shared" si="4"/>
        <v>-0.28000000000065484</v>
      </c>
    </row>
    <row r="68" spans="1:15" ht="25.5" x14ac:dyDescent="0.2">
      <c r="A68" s="277"/>
      <c r="B68" s="4" t="s">
        <v>17</v>
      </c>
      <c r="C68" s="5">
        <v>0.04</v>
      </c>
      <c r="D68" s="275"/>
      <c r="E68" s="113">
        <f>E63*0.04</f>
        <v>30000</v>
      </c>
      <c r="F68" s="113">
        <f t="shared" si="21"/>
        <v>3000</v>
      </c>
      <c r="G68" s="113">
        <f>F68*0.16</f>
        <v>480</v>
      </c>
      <c r="H68" s="113">
        <f t="shared" si="20"/>
        <v>33480</v>
      </c>
      <c r="I68" s="13"/>
      <c r="J68" s="131">
        <v>33480</v>
      </c>
      <c r="K68" s="138">
        <f t="shared" si="4"/>
        <v>0</v>
      </c>
    </row>
    <row r="69" spans="1:15" x14ac:dyDescent="0.2">
      <c r="A69" s="277"/>
      <c r="B69" s="4" t="s">
        <v>18</v>
      </c>
      <c r="C69" s="6" t="s">
        <v>4</v>
      </c>
      <c r="D69" s="275"/>
      <c r="E69" s="113">
        <f>E65*8.33/100</f>
        <v>68639.199999999997</v>
      </c>
      <c r="F69" s="113">
        <f t="shared" si="21"/>
        <v>6863.92</v>
      </c>
      <c r="G69" s="113">
        <f>F69*0.16</f>
        <v>1098.2272</v>
      </c>
      <c r="H69" s="113">
        <f t="shared" si="20"/>
        <v>76601.347199999989</v>
      </c>
      <c r="I69" s="13"/>
      <c r="J69" s="131">
        <v>76633</v>
      </c>
      <c r="K69" s="138">
        <f t="shared" ref="K69:K74" si="22">J69-H69</f>
        <v>31.652800000010757</v>
      </c>
    </row>
    <row r="70" spans="1:15" x14ac:dyDescent="0.2">
      <c r="A70" s="277"/>
      <c r="B70" s="4" t="s">
        <v>19</v>
      </c>
      <c r="C70" s="5">
        <v>0.01</v>
      </c>
      <c r="D70" s="275"/>
      <c r="E70" s="113">
        <f>E65*0.01</f>
        <v>8240</v>
      </c>
      <c r="F70" s="113">
        <f t="shared" si="21"/>
        <v>824</v>
      </c>
      <c r="G70" s="113">
        <f>F70*0.16</f>
        <v>131.84</v>
      </c>
      <c r="H70" s="113">
        <f t="shared" si="20"/>
        <v>9195.84</v>
      </c>
      <c r="I70" s="13"/>
      <c r="J70" s="131">
        <v>9196</v>
      </c>
      <c r="K70" s="138">
        <f t="shared" si="22"/>
        <v>0.15999999999985448</v>
      </c>
    </row>
    <row r="71" spans="1:15" ht="15" customHeight="1" x14ac:dyDescent="0.2">
      <c r="A71" s="277"/>
      <c r="B71" s="261" t="s">
        <v>20</v>
      </c>
      <c r="C71" s="276" t="s">
        <v>5</v>
      </c>
      <c r="D71" s="275"/>
      <c r="E71" s="288">
        <f>E65*8.33/100</f>
        <v>68639.199999999997</v>
      </c>
      <c r="F71" s="288">
        <f t="shared" si="21"/>
        <v>6863.92</v>
      </c>
      <c r="G71" s="288">
        <f t="shared" ref="G71:G73" si="23">F71*0.16</f>
        <v>1098.2272</v>
      </c>
      <c r="H71" s="288">
        <f t="shared" si="20"/>
        <v>76601.347199999989</v>
      </c>
      <c r="I71" s="13"/>
      <c r="J71" s="250">
        <v>76633</v>
      </c>
      <c r="K71" s="138">
        <f t="shared" si="22"/>
        <v>31.652800000010757</v>
      </c>
    </row>
    <row r="72" spans="1:15" x14ac:dyDescent="0.2">
      <c r="A72" s="277"/>
      <c r="B72" s="261"/>
      <c r="C72" s="276"/>
      <c r="D72" s="275"/>
      <c r="E72" s="289"/>
      <c r="F72" s="289"/>
      <c r="G72" s="289"/>
      <c r="H72" s="289"/>
      <c r="I72" s="13"/>
      <c r="J72" s="251"/>
      <c r="K72" s="138">
        <f t="shared" si="22"/>
        <v>0</v>
      </c>
    </row>
    <row r="73" spans="1:15" x14ac:dyDescent="0.2">
      <c r="A73" s="277"/>
      <c r="B73" s="121" t="s">
        <v>21</v>
      </c>
      <c r="C73" s="122" t="s">
        <v>6</v>
      </c>
      <c r="D73" s="275"/>
      <c r="E73" s="124">
        <f>E63*4.17/100</f>
        <v>31275</v>
      </c>
      <c r="F73" s="124">
        <f>E73*0.1</f>
        <v>3127.5</v>
      </c>
      <c r="G73" s="124">
        <f t="shared" si="23"/>
        <v>500.40000000000003</v>
      </c>
      <c r="H73" s="124">
        <f t="shared" si="20"/>
        <v>34902.9</v>
      </c>
      <c r="I73" s="13"/>
      <c r="J73" s="131">
        <v>34875</v>
      </c>
      <c r="K73" s="138">
        <f t="shared" si="22"/>
        <v>-27.900000000001455</v>
      </c>
    </row>
    <row r="74" spans="1:15" s="391" customFormat="1" x14ac:dyDescent="0.2">
      <c r="A74" s="277"/>
      <c r="B74" s="384" t="s">
        <v>10</v>
      </c>
      <c r="C74" s="385"/>
      <c r="D74" s="385"/>
      <c r="E74" s="386">
        <f>SUM(E66:E73)</f>
        <v>304623.40000000002</v>
      </c>
      <c r="F74" s="386">
        <f>SUM(F66:F73)</f>
        <v>30462.339999999997</v>
      </c>
      <c r="G74" s="386">
        <f>SUM(G66:G73)</f>
        <v>4873.9744000000001</v>
      </c>
      <c r="H74" s="387">
        <f>SUM(E74:G74)</f>
        <v>339959.7144</v>
      </c>
      <c r="I74" s="388"/>
      <c r="J74" s="389">
        <v>339995</v>
      </c>
      <c r="K74" s="390">
        <f t="shared" si="22"/>
        <v>35.285600000002887</v>
      </c>
      <c r="L74" s="390"/>
      <c r="N74" s="392">
        <f>H63+SUM(H66:H73)</f>
        <v>1176959.7143999999</v>
      </c>
    </row>
    <row r="75" spans="1:15" x14ac:dyDescent="0.2">
      <c r="A75" s="127"/>
      <c r="B75" s="143"/>
      <c r="C75" s="144"/>
      <c r="D75" s="144"/>
      <c r="E75" s="145"/>
      <c r="F75" s="145"/>
      <c r="G75" s="145"/>
      <c r="H75" s="146"/>
      <c r="I75" s="54"/>
      <c r="K75" s="142">
        <f>SUM(K4:K74)</f>
        <v>569937.6650000012</v>
      </c>
      <c r="L75" s="142"/>
    </row>
    <row r="76" spans="1:15" ht="34.5" customHeight="1" x14ac:dyDescent="0.2">
      <c r="B76" s="283" t="s">
        <v>26</v>
      </c>
      <c r="C76" s="283"/>
      <c r="D76" s="283"/>
      <c r="E76" s="283"/>
      <c r="F76" s="283"/>
      <c r="G76" s="283"/>
      <c r="H76" s="113">
        <f>3548744*8</f>
        <v>28389952</v>
      </c>
      <c r="J76" s="135">
        <v>28389952</v>
      </c>
      <c r="K76" s="138">
        <f>H76-J76</f>
        <v>0</v>
      </c>
      <c r="N76" s="149">
        <f>SUM(N14:N74)</f>
        <v>33929230.707899995</v>
      </c>
      <c r="O76" s="70">
        <f>N76*8</f>
        <v>271433845.66319996</v>
      </c>
    </row>
    <row r="77" spans="1:15" ht="39" customHeight="1" x14ac:dyDescent="0.2">
      <c r="B77" s="283" t="s">
        <v>27</v>
      </c>
      <c r="C77" s="283"/>
      <c r="D77" s="283"/>
      <c r="E77" s="283"/>
      <c r="F77" s="283"/>
      <c r="G77" s="283"/>
      <c r="H77" s="113">
        <f>N76*8</f>
        <v>271433845.66319996</v>
      </c>
      <c r="J77" s="135">
        <v>271970424</v>
      </c>
      <c r="K77" s="138">
        <f t="shared" ref="K77:K84" si="24">H77-J77</f>
        <v>-536578.33680003881</v>
      </c>
    </row>
    <row r="78" spans="1:15" ht="39" customHeight="1" x14ac:dyDescent="0.2">
      <c r="B78" s="283" t="s">
        <v>201</v>
      </c>
      <c r="C78" s="283"/>
      <c r="D78" s="283"/>
      <c r="E78" s="283"/>
      <c r="F78" s="283"/>
      <c r="G78" s="283"/>
      <c r="H78" s="393">
        <v>51288000</v>
      </c>
      <c r="J78" s="135">
        <v>51288000</v>
      </c>
      <c r="K78" s="138">
        <f t="shared" si="24"/>
        <v>0</v>
      </c>
    </row>
    <row r="79" spans="1:15" ht="33.75" customHeight="1" x14ac:dyDescent="0.2">
      <c r="B79" s="283" t="s">
        <v>25</v>
      </c>
      <c r="C79" s="283"/>
      <c r="D79" s="283"/>
      <c r="E79" s="283"/>
      <c r="F79" s="283"/>
      <c r="G79" s="283"/>
      <c r="H79" s="393">
        <f>M79+N79</f>
        <v>43764530.505599998</v>
      </c>
      <c r="J79" s="135">
        <v>43764528</v>
      </c>
      <c r="K79" s="138">
        <f t="shared" si="24"/>
        <v>2.5055999979376793</v>
      </c>
      <c r="M79" s="139">
        <f>3548744*12</f>
        <v>42584928</v>
      </c>
      <c r="N79" s="149">
        <f>M79*2.77/100</f>
        <v>1179602.5056</v>
      </c>
    </row>
    <row r="80" spans="1:15" ht="57" customHeight="1" x14ac:dyDescent="0.2">
      <c r="B80" s="283" t="s">
        <v>24</v>
      </c>
      <c r="C80" s="283"/>
      <c r="D80" s="283"/>
      <c r="E80" s="283"/>
      <c r="F80" s="283"/>
      <c r="G80" s="283"/>
      <c r="H80" s="393">
        <f>M80+N80</f>
        <v>426123994.30665773</v>
      </c>
      <c r="J80" s="135">
        <v>426966372</v>
      </c>
      <c r="K80" s="138">
        <f t="shared" si="24"/>
        <v>-842377.69334226847</v>
      </c>
      <c r="M80" s="140">
        <f>33929230.7079*12</f>
        <v>407150768.49480003</v>
      </c>
      <c r="N80" s="149">
        <f>M80*4.66/100</f>
        <v>18973225.811857682</v>
      </c>
    </row>
    <row r="81" spans="1:18" ht="57" customHeight="1" x14ac:dyDescent="0.2">
      <c r="B81" s="283" t="s">
        <v>202</v>
      </c>
      <c r="C81" s="283"/>
      <c r="D81" s="283"/>
      <c r="E81" s="283"/>
      <c r="F81" s="283"/>
      <c r="G81" s="283"/>
      <c r="H81" s="393">
        <v>79747716</v>
      </c>
      <c r="J81" s="135">
        <v>79747716</v>
      </c>
      <c r="K81" s="138">
        <f t="shared" si="24"/>
        <v>0</v>
      </c>
      <c r="M81" s="138"/>
    </row>
    <row r="82" spans="1:18" ht="32.25" customHeight="1" x14ac:dyDescent="0.2">
      <c r="B82" s="283" t="s">
        <v>22</v>
      </c>
      <c r="C82" s="283"/>
      <c r="D82" s="283"/>
      <c r="E82" s="283"/>
      <c r="F82" s="283"/>
      <c r="G82" s="283"/>
      <c r="H82" s="393">
        <f>Q82+R82</f>
        <v>14992269.333535038</v>
      </c>
      <c r="J82" s="135">
        <v>14992268</v>
      </c>
      <c r="K82" s="138">
        <f t="shared" si="24"/>
        <v>1.3335350379347801</v>
      </c>
      <c r="M82" s="139">
        <v>43764530.505599998</v>
      </c>
      <c r="N82" s="149">
        <f>M82*2.77/100</f>
        <v>1212277.4950051198</v>
      </c>
      <c r="P82" s="72">
        <f>M82/12</f>
        <v>3647044.2087999997</v>
      </c>
      <c r="Q82" s="72">
        <f>P82*4</f>
        <v>14588176.835199999</v>
      </c>
      <c r="R82" s="72">
        <f>Q82*2.77/100</f>
        <v>404092.49833504</v>
      </c>
    </row>
    <row r="83" spans="1:18" ht="43.5" customHeight="1" x14ac:dyDescent="0.2">
      <c r="B83" s="283" t="s">
        <v>23</v>
      </c>
      <c r="C83" s="283"/>
      <c r="D83" s="283"/>
      <c r="E83" s="283"/>
      <c r="F83" s="283"/>
      <c r="G83" s="283"/>
      <c r="H83" s="393">
        <f>M83+N83</f>
        <v>148660457.48044944</v>
      </c>
      <c r="J83" s="135">
        <v>148954336</v>
      </c>
      <c r="K83" s="138">
        <f t="shared" si="24"/>
        <v>-293878.5195505619</v>
      </c>
      <c r="M83" s="138">
        <f>P83*4</f>
        <v>142041331.43555269</v>
      </c>
      <c r="N83" s="149">
        <f>M83*4.66/100</f>
        <v>6619126.0448967554</v>
      </c>
      <c r="P83" s="71">
        <f>426123994.306658/12</f>
        <v>35510332.858888172</v>
      </c>
    </row>
    <row r="84" spans="1:18" ht="26.25" customHeight="1" x14ac:dyDescent="0.2">
      <c r="B84" s="283" t="s">
        <v>203</v>
      </c>
      <c r="C84" s="283"/>
      <c r="D84" s="283"/>
      <c r="E84" s="283"/>
      <c r="F84" s="283"/>
      <c r="G84" s="283"/>
      <c r="H84" s="393">
        <v>27318908</v>
      </c>
      <c r="J84" s="135">
        <v>27318908</v>
      </c>
      <c r="K84" s="138">
        <f t="shared" si="24"/>
        <v>0</v>
      </c>
      <c r="M84" s="138"/>
    </row>
    <row r="85" spans="1:18" ht="29.25" customHeight="1" x14ac:dyDescent="0.2">
      <c r="B85" s="283" t="s">
        <v>190</v>
      </c>
      <c r="C85" s="283"/>
      <c r="D85" s="283"/>
      <c r="E85" s="283"/>
      <c r="F85" s="283"/>
      <c r="G85" s="283"/>
      <c r="H85" s="152">
        <f>SUM(H76:H84)</f>
        <v>1091719673.2894421</v>
      </c>
      <c r="I85" s="153"/>
      <c r="J85" s="154">
        <v>1093392504</v>
      </c>
      <c r="K85" s="155">
        <f>J85-H85</f>
        <v>1672830.7105579376</v>
      </c>
      <c r="M85" s="138"/>
    </row>
    <row r="87" spans="1:18" x14ac:dyDescent="0.2">
      <c r="G87" s="117">
        <v>2015</v>
      </c>
      <c r="H87" s="117">
        <f>SUM(H76:H78)</f>
        <v>351111797.66319996</v>
      </c>
      <c r="J87" s="240">
        <f>SUM(J76:J78)</f>
        <v>351648376</v>
      </c>
    </row>
    <row r="88" spans="1:18" x14ac:dyDescent="0.2">
      <c r="G88" s="117">
        <v>2016</v>
      </c>
      <c r="H88" s="117">
        <f>SUM(H79:H81)</f>
        <v>549636240.81225777</v>
      </c>
      <c r="J88" s="240">
        <f>SUM(J79:J81)</f>
        <v>550478616</v>
      </c>
    </row>
    <row r="89" spans="1:18" x14ac:dyDescent="0.2">
      <c r="G89" s="117">
        <v>2017</v>
      </c>
      <c r="H89" s="117">
        <f>SUM(H82:H84)</f>
        <v>190971634.81398448</v>
      </c>
      <c r="J89" s="240">
        <f>SUM(J82:J84)</f>
        <v>191265512</v>
      </c>
    </row>
    <row r="91" spans="1:18" ht="13.5" x14ac:dyDescent="0.2">
      <c r="A91" s="279" t="s">
        <v>180</v>
      </c>
      <c r="B91" s="279"/>
      <c r="C91" s="279"/>
      <c r="D91" s="279"/>
      <c r="E91" s="279"/>
      <c r="F91" s="279"/>
      <c r="G91" s="279"/>
      <c r="H91" s="279"/>
      <c r="J91" s="394"/>
    </row>
    <row r="92" spans="1:18" x14ac:dyDescent="0.2">
      <c r="A92" s="279"/>
      <c r="B92" s="279"/>
      <c r="C92" s="279"/>
      <c r="D92" s="279"/>
      <c r="E92" s="279"/>
      <c r="F92" s="279"/>
      <c r="G92" s="279"/>
      <c r="H92" s="279"/>
      <c r="J92" s="395"/>
    </row>
    <row r="93" spans="1:18" ht="6.75" customHeight="1" x14ac:dyDescent="0.2"/>
    <row r="94" spans="1:18" ht="87.75" customHeight="1" x14ac:dyDescent="0.2">
      <c r="A94" s="50" t="s">
        <v>177</v>
      </c>
      <c r="B94" s="280" t="s">
        <v>178</v>
      </c>
      <c r="C94" s="280"/>
      <c r="D94" s="280"/>
      <c r="E94" s="280"/>
      <c r="F94" s="280"/>
      <c r="G94" s="280"/>
      <c r="H94" s="118" t="s">
        <v>179</v>
      </c>
      <c r="I94" s="49"/>
      <c r="K94" s="141"/>
      <c r="L94" s="141"/>
      <c r="M94" s="49"/>
      <c r="N94" s="151"/>
      <c r="O94" s="49"/>
    </row>
    <row r="95" spans="1:18" ht="15.75" customHeight="1" x14ac:dyDescent="0.2">
      <c r="A95" s="52"/>
      <c r="B95" s="281"/>
      <c r="C95" s="281"/>
      <c r="D95" s="281"/>
      <c r="E95" s="281"/>
      <c r="F95" s="281"/>
      <c r="G95" s="281"/>
      <c r="H95" s="110"/>
    </row>
    <row r="96" spans="1:18" ht="13.5" x14ac:dyDescent="0.2">
      <c r="J96" s="136"/>
    </row>
    <row r="97" spans="1:8" ht="31.5" customHeight="1" x14ac:dyDescent="0.2">
      <c r="A97" s="282" t="s">
        <v>181</v>
      </c>
      <c r="B97" s="282"/>
      <c r="C97" s="282"/>
      <c r="D97" s="282"/>
      <c r="E97" s="282"/>
      <c r="F97" s="282"/>
      <c r="G97" s="282"/>
      <c r="H97" s="282"/>
    </row>
    <row r="99" spans="1:8" ht="42.75" customHeight="1" x14ac:dyDescent="0.2">
      <c r="A99" s="383" t="s">
        <v>234</v>
      </c>
      <c r="B99" s="383"/>
      <c r="C99" s="383"/>
      <c r="D99" s="383"/>
      <c r="E99" s="383"/>
      <c r="F99" s="383"/>
      <c r="G99" s="383"/>
      <c r="H99" s="383"/>
    </row>
    <row r="100" spans="1:8" ht="33" customHeight="1" x14ac:dyDescent="0.2">
      <c r="A100" s="401" t="s">
        <v>235</v>
      </c>
      <c r="B100" s="401"/>
      <c r="C100" s="401"/>
      <c r="D100" s="401"/>
      <c r="E100" s="401"/>
      <c r="F100" s="401"/>
      <c r="G100" s="401"/>
      <c r="H100" s="401"/>
    </row>
  </sheetData>
  <mergeCells count="84">
    <mergeCell ref="A99:H99"/>
    <mergeCell ref="A100:H100"/>
    <mergeCell ref="E59:E60"/>
    <mergeCell ref="F59:F60"/>
    <mergeCell ref="G59:G60"/>
    <mergeCell ref="H59:H60"/>
    <mergeCell ref="H35:H36"/>
    <mergeCell ref="E23:E24"/>
    <mergeCell ref="F23:F24"/>
    <mergeCell ref="G23:G24"/>
    <mergeCell ref="H23:H24"/>
    <mergeCell ref="B84:G84"/>
    <mergeCell ref="D39:D49"/>
    <mergeCell ref="D51:D61"/>
    <mergeCell ref="B35:B36"/>
    <mergeCell ref="C35:C36"/>
    <mergeCell ref="B29:C29"/>
    <mergeCell ref="E47:E48"/>
    <mergeCell ref="G47:G48"/>
    <mergeCell ref="F47:F48"/>
    <mergeCell ref="E71:E72"/>
    <mergeCell ref="F71:F72"/>
    <mergeCell ref="G71:G72"/>
    <mergeCell ref="B76:G76"/>
    <mergeCell ref="B79:G79"/>
    <mergeCell ref="B80:G80"/>
    <mergeCell ref="B82:G82"/>
    <mergeCell ref="B83:G83"/>
    <mergeCell ref="B77:G77"/>
    <mergeCell ref="B78:G78"/>
    <mergeCell ref="B81:G81"/>
    <mergeCell ref="A91:H92"/>
    <mergeCell ref="B94:G94"/>
    <mergeCell ref="B95:G95"/>
    <mergeCell ref="A97:H97"/>
    <mergeCell ref="B85:G85"/>
    <mergeCell ref="A63:A74"/>
    <mergeCell ref="A39:A50"/>
    <mergeCell ref="A51:A62"/>
    <mergeCell ref="B63:C63"/>
    <mergeCell ref="B64:C64"/>
    <mergeCell ref="B65:C65"/>
    <mergeCell ref="B71:B72"/>
    <mergeCell ref="C71:C72"/>
    <mergeCell ref="B59:B60"/>
    <mergeCell ref="C59:C60"/>
    <mergeCell ref="B39:C39"/>
    <mergeCell ref="B40:C40"/>
    <mergeCell ref="B41:C41"/>
    <mergeCell ref="B28:C28"/>
    <mergeCell ref="D63:D73"/>
    <mergeCell ref="B47:B48"/>
    <mergeCell ref="C47:C48"/>
    <mergeCell ref="B51:C51"/>
    <mergeCell ref="B52:C52"/>
    <mergeCell ref="B53:C53"/>
    <mergeCell ref="B5:C5"/>
    <mergeCell ref="B6:C6"/>
    <mergeCell ref="A27:A38"/>
    <mergeCell ref="D1:D2"/>
    <mergeCell ref="E1:E2"/>
    <mergeCell ref="D3:D13"/>
    <mergeCell ref="D27:D37"/>
    <mergeCell ref="A4:A14"/>
    <mergeCell ref="A15:A26"/>
    <mergeCell ref="B15:C15"/>
    <mergeCell ref="D15:D25"/>
    <mergeCell ref="B16:C16"/>
    <mergeCell ref="B17:C17"/>
    <mergeCell ref="B23:B24"/>
    <mergeCell ref="C23:C24"/>
    <mergeCell ref="B27:C27"/>
    <mergeCell ref="A1:C2"/>
    <mergeCell ref="F1:F2"/>
    <mergeCell ref="G1:G2"/>
    <mergeCell ref="B3:C3"/>
    <mergeCell ref="B4:C4"/>
    <mergeCell ref="J1:J2"/>
    <mergeCell ref="J59:J60"/>
    <mergeCell ref="J71:J72"/>
    <mergeCell ref="K1:K2"/>
    <mergeCell ref="H1:H2"/>
    <mergeCell ref="H71:H72"/>
    <mergeCell ref="H47:H4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topLeftCell="A16" zoomScale="75" zoomScaleNormal="75" workbookViewId="0">
      <selection activeCell="A30" sqref="A30"/>
    </sheetView>
  </sheetViews>
  <sheetFormatPr baseColWidth="10" defaultRowHeight="12.75" x14ac:dyDescent="0.2"/>
  <cols>
    <col min="1" max="1" width="62.140625" style="15" customWidth="1"/>
    <col min="2" max="2" width="35.140625" style="79" customWidth="1"/>
    <col min="3" max="3" width="30.5703125" style="15" customWidth="1"/>
    <col min="4" max="4" width="33.28515625" style="15" customWidth="1"/>
    <col min="5" max="5" width="17.140625" style="86" customWidth="1"/>
    <col min="6" max="16384" width="11.42578125" style="15"/>
  </cols>
  <sheetData>
    <row r="1" spans="1:10" ht="36.75" customHeight="1" x14ac:dyDescent="0.2">
      <c r="A1" s="56" t="s">
        <v>28</v>
      </c>
      <c r="B1" s="77" t="s">
        <v>192</v>
      </c>
      <c r="C1" s="18" t="s">
        <v>193</v>
      </c>
      <c r="D1" s="18" t="s">
        <v>194</v>
      </c>
      <c r="E1" s="84"/>
      <c r="F1" s="89"/>
    </row>
    <row r="2" spans="1:10" ht="75" customHeight="1" x14ac:dyDescent="0.2">
      <c r="A2" s="16" t="s">
        <v>31</v>
      </c>
      <c r="B2" s="156">
        <v>98666722</v>
      </c>
      <c r="C2" s="156">
        <v>148000080</v>
      </c>
      <c r="D2" s="156">
        <v>49333357</v>
      </c>
      <c r="E2" s="85">
        <f t="shared" ref="E2:E7" si="0">SUM(B2:D2)</f>
        <v>296000159</v>
      </c>
    </row>
    <row r="3" spans="1:10" s="398" customFormat="1" ht="75" customHeight="1" x14ac:dyDescent="0.2">
      <c r="A3" s="396" t="s">
        <v>211</v>
      </c>
      <c r="B3" s="161">
        <v>96880181.333333328</v>
      </c>
      <c r="C3" s="161">
        <v>150638993.97549999</v>
      </c>
      <c r="D3" s="161">
        <v>52050790.349267744</v>
      </c>
      <c r="E3" s="397">
        <f t="shared" si="0"/>
        <v>299569965.65810102</v>
      </c>
    </row>
    <row r="4" spans="1:10" ht="46.5" customHeight="1" x14ac:dyDescent="0.2">
      <c r="A4" s="16" t="s">
        <v>233</v>
      </c>
      <c r="B4" s="158">
        <f>896236+914485</f>
        <v>1810721</v>
      </c>
      <c r="C4" s="157">
        <f>1344354+1371727</f>
        <v>2716081</v>
      </c>
      <c r="D4" s="157">
        <f>448118+457242</f>
        <v>905360</v>
      </c>
      <c r="E4" s="85">
        <f t="shared" si="0"/>
        <v>5432162</v>
      </c>
    </row>
    <row r="5" spans="1:10" s="398" customFormat="1" ht="60" customHeight="1" x14ac:dyDescent="0.2">
      <c r="A5" s="396" t="s">
        <v>213</v>
      </c>
      <c r="B5" s="161">
        <v>1810720.6666666665</v>
      </c>
      <c r="C5" s="161">
        <v>2815489.5646000011</v>
      </c>
      <c r="D5" s="161">
        <v>972845.49422145309</v>
      </c>
      <c r="E5" s="399">
        <f t="shared" si="0"/>
        <v>5599055.7254881207</v>
      </c>
    </row>
    <row r="6" spans="1:10" ht="75.75" customHeight="1" x14ac:dyDescent="0.2">
      <c r="A6" s="16" t="s">
        <v>212</v>
      </c>
      <c r="B6" s="156">
        <v>33846302</v>
      </c>
      <c r="C6" s="156">
        <v>50769448</v>
      </c>
      <c r="D6" s="156">
        <v>16923068</v>
      </c>
      <c r="E6" s="165">
        <f t="shared" si="0"/>
        <v>101538818</v>
      </c>
    </row>
    <row r="7" spans="1:10" ht="46.5" customHeight="1" x14ac:dyDescent="0.2">
      <c r="A7" s="400" t="s">
        <v>213</v>
      </c>
      <c r="B7" s="159">
        <v>33870669</v>
      </c>
      <c r="C7" s="160">
        <v>52789835</v>
      </c>
      <c r="D7" s="160">
        <v>18197628</v>
      </c>
      <c r="E7" s="162">
        <f t="shared" si="0"/>
        <v>104858132</v>
      </c>
    </row>
    <row r="8" spans="1:10" ht="12.75" customHeight="1" x14ac:dyDescent="0.2">
      <c r="A8" s="57"/>
      <c r="B8" s="78"/>
    </row>
    <row r="9" spans="1:10" ht="12.75" customHeight="1" x14ac:dyDescent="0.2">
      <c r="A9" s="57"/>
      <c r="B9" s="241">
        <f>B3+B5+B7</f>
        <v>132561571</v>
      </c>
      <c r="C9" s="241">
        <f t="shared" ref="C9:D9" si="1">C3+C5+C7</f>
        <v>206244318.54009998</v>
      </c>
      <c r="D9" s="241">
        <f t="shared" si="1"/>
        <v>71221263.8434892</v>
      </c>
    </row>
    <row r="10" spans="1:10" ht="12.75" customHeight="1" x14ac:dyDescent="0.2">
      <c r="A10" s="57"/>
      <c r="B10" s="78"/>
    </row>
    <row r="11" spans="1:10" ht="24.75" customHeight="1" x14ac:dyDescent="0.2">
      <c r="A11" s="293" t="s">
        <v>189</v>
      </c>
      <c r="B11" s="293"/>
      <c r="C11" s="293">
        <f>E2+E4+E6</f>
        <v>402971139</v>
      </c>
      <c r="D11" s="293"/>
      <c r="E11" s="292"/>
      <c r="F11" s="292"/>
      <c r="G11" s="292"/>
      <c r="H11" s="292"/>
      <c r="I11" s="292"/>
      <c r="J11" s="292"/>
    </row>
    <row r="12" spans="1:10" ht="18" x14ac:dyDescent="0.2">
      <c r="A12" s="17"/>
      <c r="E12" s="225">
        <f>C13-C11</f>
        <v>7056014.3835891485</v>
      </c>
    </row>
    <row r="13" spans="1:10" ht="23.25" customHeight="1" x14ac:dyDescent="0.2">
      <c r="A13" s="294" t="s">
        <v>189</v>
      </c>
      <c r="B13" s="294"/>
      <c r="C13" s="294">
        <f>E3+E5+E7</f>
        <v>410027153.38358915</v>
      </c>
      <c r="D13" s="294"/>
    </row>
    <row r="14" spans="1:10" x14ac:dyDescent="0.2">
      <c r="A14" s="17"/>
    </row>
    <row r="15" spans="1:10" ht="12.75" customHeight="1" x14ac:dyDescent="0.2">
      <c r="A15" s="279" t="s">
        <v>180</v>
      </c>
      <c r="B15" s="279"/>
      <c r="C15" s="279"/>
      <c r="D15" s="279"/>
      <c r="E15" s="87"/>
      <c r="F15" s="53"/>
      <c r="G15" s="53"/>
    </row>
    <row r="16" spans="1:10" x14ac:dyDescent="0.2">
      <c r="A16" s="279"/>
      <c r="B16" s="279"/>
      <c r="C16" s="279"/>
      <c r="D16" s="279"/>
      <c r="E16" s="87"/>
      <c r="F16" s="53"/>
      <c r="G16" s="53"/>
    </row>
    <row r="17" spans="1:7" x14ac:dyDescent="0.2">
      <c r="A17" s="1"/>
      <c r="B17" s="71"/>
      <c r="C17" s="1"/>
      <c r="D17" s="1"/>
      <c r="E17" s="88"/>
      <c r="F17" s="1"/>
      <c r="G17" s="1"/>
    </row>
    <row r="18" spans="1:7" ht="100.5" customHeight="1" x14ac:dyDescent="0.2">
      <c r="A18" s="50" t="s">
        <v>177</v>
      </c>
      <c r="B18" s="61" t="s">
        <v>178</v>
      </c>
      <c r="C18" s="51" t="s">
        <v>179</v>
      </c>
      <c r="D18" s="49"/>
      <c r="E18" s="49"/>
      <c r="F18" s="49"/>
    </row>
    <row r="19" spans="1:7" ht="13.5" x14ac:dyDescent="0.2">
      <c r="A19" s="51"/>
      <c r="B19" s="80"/>
      <c r="C19" s="51"/>
      <c r="D19" s="49"/>
      <c r="E19" s="49"/>
      <c r="F19" s="49"/>
      <c r="G19" s="54"/>
    </row>
    <row r="20" spans="1:7" ht="6.75" customHeight="1" x14ac:dyDescent="0.2"/>
    <row r="21" spans="1:7" ht="28.5" customHeight="1" x14ac:dyDescent="0.2">
      <c r="A21" s="282" t="s">
        <v>181</v>
      </c>
      <c r="B21" s="282"/>
      <c r="C21" s="282"/>
      <c r="D21" s="55"/>
      <c r="E21" s="83"/>
      <c r="F21" s="55"/>
      <c r="G21" s="55"/>
    </row>
    <row r="22" spans="1:7" ht="16.5" customHeight="1" x14ac:dyDescent="0.2">
      <c r="A22" s="90"/>
      <c r="B22" s="90"/>
      <c r="C22" s="90"/>
      <c r="D22" s="55"/>
      <c r="E22" s="83"/>
      <c r="F22" s="55"/>
      <c r="G22" s="55"/>
    </row>
    <row r="23" spans="1:7" ht="37.5" customHeight="1" x14ac:dyDescent="0.2">
      <c r="A23" s="404" t="s">
        <v>236</v>
      </c>
      <c r="B23" s="405"/>
      <c r="C23" s="406"/>
      <c r="D23" s="55"/>
      <c r="E23" s="83"/>
      <c r="F23" s="55"/>
      <c r="G23" s="55"/>
    </row>
    <row r="24" spans="1:7" ht="31.5" customHeight="1" x14ac:dyDescent="0.2">
      <c r="A24" s="404" t="s">
        <v>237</v>
      </c>
      <c r="B24" s="405"/>
      <c r="C24" s="406"/>
    </row>
    <row r="35" spans="2:4" x14ac:dyDescent="0.2">
      <c r="B35" s="403"/>
      <c r="C35" s="403"/>
      <c r="D35" s="403"/>
    </row>
    <row r="36" spans="2:4" x14ac:dyDescent="0.2">
      <c r="B36" s="403"/>
      <c r="C36" s="403"/>
      <c r="D36" s="403"/>
    </row>
    <row r="37" spans="2:4" x14ac:dyDescent="0.2">
      <c r="B37" s="163"/>
      <c r="C37" s="164"/>
      <c r="D37" s="164"/>
    </row>
    <row r="39" spans="2:4" ht="19.5" x14ac:dyDescent="0.3">
      <c r="B39" s="81"/>
    </row>
    <row r="40" spans="2:4" ht="19.5" x14ac:dyDescent="0.3">
      <c r="B40" s="81"/>
    </row>
    <row r="41" spans="2:4" ht="19.5" x14ac:dyDescent="0.3">
      <c r="B41" s="81"/>
    </row>
    <row r="42" spans="2:4" ht="19.5" x14ac:dyDescent="0.3">
      <c r="B42" s="81"/>
    </row>
    <row r="43" spans="2:4" ht="19.5" x14ac:dyDescent="0.3">
      <c r="B43" s="81"/>
    </row>
    <row r="44" spans="2:4" ht="19.5" x14ac:dyDescent="0.3">
      <c r="B44" s="81"/>
    </row>
    <row r="45" spans="2:4" ht="19.5" x14ac:dyDescent="0.3">
      <c r="B45" s="81"/>
    </row>
    <row r="46" spans="2:4" ht="19.5" x14ac:dyDescent="0.3">
      <c r="B46" s="81"/>
    </row>
    <row r="47" spans="2:4" ht="19.5" x14ac:dyDescent="0.3">
      <c r="B47" s="81"/>
    </row>
    <row r="48" spans="2:4" ht="19.5" x14ac:dyDescent="0.3">
      <c r="B48" s="81"/>
    </row>
    <row r="49" spans="2:2" ht="19.5" x14ac:dyDescent="0.3">
      <c r="B49" s="81"/>
    </row>
    <row r="50" spans="2:2" ht="19.5" x14ac:dyDescent="0.3">
      <c r="B50" s="81"/>
    </row>
    <row r="51" spans="2:2" ht="19.5" x14ac:dyDescent="0.3">
      <c r="B51" s="81"/>
    </row>
    <row r="52" spans="2:2" ht="19.5" x14ac:dyDescent="0.3">
      <c r="B52" s="81"/>
    </row>
    <row r="53" spans="2:2" ht="19.5" x14ac:dyDescent="0.3">
      <c r="B53" s="81"/>
    </row>
    <row r="54" spans="2:2" ht="19.5" x14ac:dyDescent="0.3">
      <c r="B54" s="81"/>
    </row>
    <row r="55" spans="2:2" ht="19.5" x14ac:dyDescent="0.3">
      <c r="B55" s="81"/>
    </row>
    <row r="56" spans="2:2" ht="19.5" x14ac:dyDescent="0.3">
      <c r="B56" s="81"/>
    </row>
    <row r="57" spans="2:2" ht="19.5" x14ac:dyDescent="0.3">
      <c r="B57" s="81"/>
    </row>
    <row r="58" spans="2:2" ht="19.5" x14ac:dyDescent="0.3">
      <c r="B58" s="81"/>
    </row>
    <row r="59" spans="2:2" ht="19.5" x14ac:dyDescent="0.3">
      <c r="B59" s="81"/>
    </row>
    <row r="60" spans="2:2" ht="19.5" x14ac:dyDescent="0.3">
      <c r="B60" s="81"/>
    </row>
    <row r="61" spans="2:2" ht="19.5" x14ac:dyDescent="0.3">
      <c r="B61" s="81"/>
    </row>
    <row r="62" spans="2:2" ht="19.5" x14ac:dyDescent="0.3">
      <c r="B62" s="81"/>
    </row>
    <row r="63" spans="2:2" ht="19.5" x14ac:dyDescent="0.3">
      <c r="B63" s="81"/>
    </row>
    <row r="64" spans="2:2" ht="19.5" x14ac:dyDescent="0.3">
      <c r="B64" s="81"/>
    </row>
    <row r="65" spans="2:2" ht="19.5" x14ac:dyDescent="0.3">
      <c r="B65" s="81"/>
    </row>
    <row r="66" spans="2:2" ht="19.5" x14ac:dyDescent="0.3">
      <c r="B66" s="81"/>
    </row>
    <row r="67" spans="2:2" ht="19.5" x14ac:dyDescent="0.3">
      <c r="B67" s="82"/>
    </row>
    <row r="68" spans="2:2" ht="19.5" x14ac:dyDescent="0.3">
      <c r="B68" s="81"/>
    </row>
    <row r="69" spans="2:2" ht="19.5" x14ac:dyDescent="0.3">
      <c r="B69" s="81"/>
    </row>
    <row r="70" spans="2:2" ht="19.5" x14ac:dyDescent="0.3">
      <c r="B70" s="81"/>
    </row>
    <row r="71" spans="2:2" ht="19.5" x14ac:dyDescent="0.3">
      <c r="B71" s="81"/>
    </row>
    <row r="72" spans="2:2" ht="19.5" x14ac:dyDescent="0.3">
      <c r="B72" s="81"/>
    </row>
    <row r="73" spans="2:2" ht="19.5" x14ac:dyDescent="0.3">
      <c r="B73" s="81"/>
    </row>
    <row r="74" spans="2:2" ht="19.5" x14ac:dyDescent="0.3">
      <c r="B74" s="81"/>
    </row>
    <row r="75" spans="2:2" ht="19.5" x14ac:dyDescent="0.3">
      <c r="B75" s="81"/>
    </row>
    <row r="76" spans="2:2" ht="19.5" x14ac:dyDescent="0.3">
      <c r="B76" s="81"/>
    </row>
    <row r="77" spans="2:2" ht="19.5" x14ac:dyDescent="0.3">
      <c r="B77" s="81"/>
    </row>
    <row r="78" spans="2:2" ht="19.5" x14ac:dyDescent="0.3">
      <c r="B78" s="81"/>
    </row>
    <row r="79" spans="2:2" ht="19.5" x14ac:dyDescent="0.3">
      <c r="B79" s="81"/>
    </row>
    <row r="80" spans="2:2" ht="19.5" x14ac:dyDescent="0.3">
      <c r="B80" s="81"/>
    </row>
    <row r="81" spans="2:2" ht="19.5" x14ac:dyDescent="0.3">
      <c r="B81" s="81"/>
    </row>
    <row r="82" spans="2:2" ht="19.5" x14ac:dyDescent="0.3">
      <c r="B82" s="81"/>
    </row>
    <row r="83" spans="2:2" ht="19.5" x14ac:dyDescent="0.3">
      <c r="B83" s="81"/>
    </row>
    <row r="84" spans="2:2" ht="19.5" x14ac:dyDescent="0.3">
      <c r="B84" s="81"/>
    </row>
    <row r="85" spans="2:2" ht="19.5" x14ac:dyDescent="0.3">
      <c r="B85" s="81"/>
    </row>
    <row r="86" spans="2:2" ht="19.5" x14ac:dyDescent="0.3">
      <c r="B86" s="81"/>
    </row>
    <row r="87" spans="2:2" ht="19.5" x14ac:dyDescent="0.3">
      <c r="B87" s="81"/>
    </row>
    <row r="88" spans="2:2" ht="19.5" x14ac:dyDescent="0.3">
      <c r="B88" s="81"/>
    </row>
    <row r="89" spans="2:2" ht="19.5" x14ac:dyDescent="0.3">
      <c r="B89" s="81"/>
    </row>
    <row r="90" spans="2:2" ht="19.5" x14ac:dyDescent="0.3">
      <c r="B90" s="81"/>
    </row>
    <row r="91" spans="2:2" ht="19.5" x14ac:dyDescent="0.3">
      <c r="B91" s="81"/>
    </row>
    <row r="92" spans="2:2" ht="19.5" x14ac:dyDescent="0.3">
      <c r="B92" s="81"/>
    </row>
    <row r="93" spans="2:2" ht="19.5" x14ac:dyDescent="0.3">
      <c r="B93" s="81"/>
    </row>
    <row r="94" spans="2:2" ht="19.5" x14ac:dyDescent="0.3">
      <c r="B94" s="81"/>
    </row>
    <row r="95" spans="2:2" ht="19.5" x14ac:dyDescent="0.3">
      <c r="B95" s="81"/>
    </row>
    <row r="96" spans="2:2" ht="19.5" x14ac:dyDescent="0.3">
      <c r="B96" s="81"/>
    </row>
    <row r="97" spans="2:2" ht="19.5" x14ac:dyDescent="0.3">
      <c r="B97" s="81"/>
    </row>
    <row r="98" spans="2:2" ht="19.5" x14ac:dyDescent="0.3">
      <c r="B98" s="81"/>
    </row>
    <row r="99" spans="2:2" ht="19.5" x14ac:dyDescent="0.3">
      <c r="B99" s="81"/>
    </row>
    <row r="100" spans="2:2" ht="19.5" x14ac:dyDescent="0.3">
      <c r="B100" s="81"/>
    </row>
    <row r="101" spans="2:2" ht="19.5" x14ac:dyDescent="0.3">
      <c r="B101" s="81"/>
    </row>
    <row r="102" spans="2:2" ht="19.5" x14ac:dyDescent="0.3">
      <c r="B102" s="81"/>
    </row>
    <row r="103" spans="2:2" ht="19.5" x14ac:dyDescent="0.3">
      <c r="B103" s="81"/>
    </row>
    <row r="104" spans="2:2" ht="19.5" x14ac:dyDescent="0.3">
      <c r="B104" s="81"/>
    </row>
    <row r="105" spans="2:2" ht="19.5" x14ac:dyDescent="0.3">
      <c r="B105" s="81"/>
    </row>
    <row r="106" spans="2:2" ht="19.5" x14ac:dyDescent="0.3">
      <c r="B106" s="81"/>
    </row>
    <row r="107" spans="2:2" ht="19.5" x14ac:dyDescent="0.3">
      <c r="B107" s="81"/>
    </row>
    <row r="108" spans="2:2" ht="19.5" x14ac:dyDescent="0.3">
      <c r="B108" s="81"/>
    </row>
    <row r="109" spans="2:2" ht="19.5" x14ac:dyDescent="0.3">
      <c r="B109" s="81"/>
    </row>
    <row r="110" spans="2:2" ht="19.5" x14ac:dyDescent="0.3">
      <c r="B110" s="81"/>
    </row>
    <row r="111" spans="2:2" ht="19.5" x14ac:dyDescent="0.3">
      <c r="B111" s="81"/>
    </row>
    <row r="112" spans="2:2" ht="19.5" x14ac:dyDescent="0.3">
      <c r="B112" s="81"/>
    </row>
    <row r="113" spans="2:2" ht="19.5" x14ac:dyDescent="0.3">
      <c r="B113" s="81"/>
    </row>
    <row r="114" spans="2:2" ht="19.5" x14ac:dyDescent="0.3">
      <c r="B114" s="81"/>
    </row>
    <row r="115" spans="2:2" ht="19.5" x14ac:dyDescent="0.3">
      <c r="B115" s="81"/>
    </row>
    <row r="116" spans="2:2" ht="19.5" x14ac:dyDescent="0.3">
      <c r="B116" s="81"/>
    </row>
    <row r="117" spans="2:2" ht="19.5" x14ac:dyDescent="0.3">
      <c r="B117" s="81"/>
    </row>
    <row r="118" spans="2:2" ht="19.5" x14ac:dyDescent="0.3">
      <c r="B118" s="81"/>
    </row>
    <row r="119" spans="2:2" ht="19.5" x14ac:dyDescent="0.3">
      <c r="B119" s="81"/>
    </row>
    <row r="120" spans="2:2" ht="19.5" x14ac:dyDescent="0.3">
      <c r="B120" s="81"/>
    </row>
    <row r="121" spans="2:2" ht="19.5" x14ac:dyDescent="0.3">
      <c r="B121" s="81"/>
    </row>
    <row r="122" spans="2:2" ht="19.5" x14ac:dyDescent="0.3">
      <c r="B122" s="81"/>
    </row>
    <row r="123" spans="2:2" ht="19.5" x14ac:dyDescent="0.3">
      <c r="B123" s="81"/>
    </row>
    <row r="124" spans="2:2" ht="19.5" x14ac:dyDescent="0.3">
      <c r="B124" s="81"/>
    </row>
    <row r="125" spans="2:2" ht="19.5" x14ac:dyDescent="0.3">
      <c r="B125" s="81"/>
    </row>
    <row r="126" spans="2:2" ht="19.5" x14ac:dyDescent="0.3">
      <c r="B126" s="81"/>
    </row>
    <row r="127" spans="2:2" ht="19.5" x14ac:dyDescent="0.3">
      <c r="B127" s="81"/>
    </row>
    <row r="128" spans="2:2" ht="19.5" x14ac:dyDescent="0.3">
      <c r="B128" s="81"/>
    </row>
    <row r="129" spans="2:2" ht="19.5" x14ac:dyDescent="0.3">
      <c r="B129" s="81"/>
    </row>
    <row r="130" spans="2:2" ht="19.5" x14ac:dyDescent="0.3">
      <c r="B130" s="81"/>
    </row>
    <row r="131" spans="2:2" ht="19.5" x14ac:dyDescent="0.3">
      <c r="B131" s="81"/>
    </row>
    <row r="132" spans="2:2" ht="19.5" x14ac:dyDescent="0.3">
      <c r="B132" s="81"/>
    </row>
    <row r="133" spans="2:2" ht="19.5" x14ac:dyDescent="0.3">
      <c r="B133" s="81"/>
    </row>
    <row r="134" spans="2:2" ht="19.5" x14ac:dyDescent="0.3">
      <c r="B134" s="81"/>
    </row>
    <row r="135" spans="2:2" ht="19.5" x14ac:dyDescent="0.3">
      <c r="B135" s="81"/>
    </row>
    <row r="136" spans="2:2" ht="19.5" x14ac:dyDescent="0.3">
      <c r="B136" s="81"/>
    </row>
    <row r="137" spans="2:2" ht="19.5" x14ac:dyDescent="0.3">
      <c r="B137" s="81"/>
    </row>
    <row r="138" spans="2:2" ht="19.5" x14ac:dyDescent="0.3">
      <c r="B138" s="81"/>
    </row>
    <row r="139" spans="2:2" ht="19.5" x14ac:dyDescent="0.3">
      <c r="B139" s="81"/>
    </row>
    <row r="140" spans="2:2" ht="19.5" x14ac:dyDescent="0.3">
      <c r="B140" s="81"/>
    </row>
    <row r="141" spans="2:2" ht="19.5" x14ac:dyDescent="0.3">
      <c r="B141" s="81"/>
    </row>
    <row r="142" spans="2:2" ht="19.5" x14ac:dyDescent="0.3">
      <c r="B142" s="81"/>
    </row>
    <row r="143" spans="2:2" ht="19.5" x14ac:dyDescent="0.3">
      <c r="B143" s="81"/>
    </row>
    <row r="144" spans="2:2" ht="19.5" x14ac:dyDescent="0.3">
      <c r="B144" s="81"/>
    </row>
    <row r="145" spans="2:2" ht="19.5" x14ac:dyDescent="0.3">
      <c r="B145" s="81"/>
    </row>
    <row r="146" spans="2:2" ht="19.5" x14ac:dyDescent="0.3">
      <c r="B146" s="81"/>
    </row>
    <row r="147" spans="2:2" ht="19.5" x14ac:dyDescent="0.3">
      <c r="B147" s="81"/>
    </row>
    <row r="148" spans="2:2" ht="19.5" x14ac:dyDescent="0.3">
      <c r="B148" s="81"/>
    </row>
    <row r="149" spans="2:2" ht="19.5" x14ac:dyDescent="0.3">
      <c r="B149" s="81"/>
    </row>
    <row r="150" spans="2:2" ht="19.5" x14ac:dyDescent="0.3">
      <c r="B150" s="81"/>
    </row>
    <row r="151" spans="2:2" ht="19.5" x14ac:dyDescent="0.3">
      <c r="B151" s="81"/>
    </row>
    <row r="152" spans="2:2" ht="19.5" x14ac:dyDescent="0.3">
      <c r="B152" s="81"/>
    </row>
    <row r="153" spans="2:2" ht="19.5" x14ac:dyDescent="0.3">
      <c r="B153" s="81"/>
    </row>
    <row r="154" spans="2:2" ht="19.5" x14ac:dyDescent="0.3">
      <c r="B154" s="81"/>
    </row>
    <row r="155" spans="2:2" ht="19.5" x14ac:dyDescent="0.3">
      <c r="B155" s="81"/>
    </row>
  </sheetData>
  <mergeCells count="9">
    <mergeCell ref="A24:C24"/>
    <mergeCell ref="A23:C23"/>
    <mergeCell ref="A21:C21"/>
    <mergeCell ref="E11:J11"/>
    <mergeCell ref="A11:B11"/>
    <mergeCell ref="C11:D11"/>
    <mergeCell ref="A15:D16"/>
    <mergeCell ref="A13:B13"/>
    <mergeCell ref="C13: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AG72"/>
  <sheetViews>
    <sheetView topLeftCell="A31" zoomScale="110" zoomScaleNormal="110" workbookViewId="0">
      <selection activeCell="D41" sqref="D41"/>
    </sheetView>
  </sheetViews>
  <sheetFormatPr baseColWidth="10" defaultRowHeight="16.5" x14ac:dyDescent="0.3"/>
  <cols>
    <col min="1" max="1" width="26.7109375" style="39" customWidth="1"/>
    <col min="2" max="3" width="7.85546875" style="39" customWidth="1"/>
    <col min="4" max="4" width="13.140625" style="39" customWidth="1"/>
    <col min="5" max="5" width="12" style="39" bestFit="1" customWidth="1"/>
    <col min="6" max="6" width="10.28515625" style="39" customWidth="1"/>
    <col min="7" max="7" width="9" style="39" customWidth="1"/>
    <col min="8" max="8" width="16.140625" style="39" customWidth="1"/>
    <col min="9" max="9" width="10.5703125" style="39" customWidth="1"/>
    <col min="10" max="11" width="9.42578125" style="39" customWidth="1"/>
    <col min="12" max="12" width="13.140625" style="39" customWidth="1"/>
    <col min="13" max="13" width="12.7109375" style="39" customWidth="1"/>
    <col min="14" max="15" width="7.42578125" style="39" customWidth="1"/>
    <col min="16" max="16" width="16.42578125" style="39" customWidth="1"/>
    <col min="17" max="17" width="10.5703125" style="39" customWidth="1"/>
    <col min="18" max="19" width="8.5703125" style="39" customWidth="1"/>
    <col min="20" max="20" width="13.28515625" style="39" customWidth="1"/>
    <col min="21" max="23" width="11.140625" style="39" customWidth="1"/>
    <col min="24" max="24" width="13.85546875" style="39" customWidth="1"/>
    <col min="25" max="25" width="11.140625" style="39" customWidth="1"/>
    <col min="26" max="26" width="12.28515625" style="39" customWidth="1"/>
    <col min="27" max="27" width="11.42578125" style="39"/>
    <col min="28" max="28" width="15.140625" style="39" customWidth="1"/>
    <col min="29" max="29" width="11.42578125" style="39"/>
    <col min="30" max="31" width="12" style="39" bestFit="1" customWidth="1"/>
    <col min="32" max="16384" width="11.42578125" style="39"/>
  </cols>
  <sheetData>
    <row r="2" spans="1:29" x14ac:dyDescent="0.3">
      <c r="A2" s="176" t="s">
        <v>214</v>
      </c>
    </row>
    <row r="3" spans="1:29" ht="48" customHeight="1" x14ac:dyDescent="0.3">
      <c r="A3" s="303" t="s">
        <v>28</v>
      </c>
      <c r="B3" s="296" t="s">
        <v>144</v>
      </c>
      <c r="C3" s="296"/>
      <c r="D3" s="296"/>
      <c r="E3" s="296"/>
      <c r="F3" s="296" t="s">
        <v>145</v>
      </c>
      <c r="G3" s="296"/>
      <c r="H3" s="296"/>
      <c r="I3" s="296"/>
      <c r="J3" s="296" t="s">
        <v>146</v>
      </c>
      <c r="K3" s="296"/>
      <c r="L3" s="296"/>
      <c r="M3" s="296"/>
      <c r="N3" s="296" t="s">
        <v>147</v>
      </c>
      <c r="O3" s="296"/>
      <c r="P3" s="296"/>
      <c r="Q3" s="296"/>
      <c r="R3" s="296" t="s">
        <v>148</v>
      </c>
      <c r="S3" s="296"/>
      <c r="T3" s="296"/>
      <c r="U3" s="296"/>
      <c r="V3" s="296" t="s">
        <v>215</v>
      </c>
      <c r="W3" s="296"/>
      <c r="X3" s="296"/>
      <c r="Y3" s="296"/>
      <c r="Z3" s="297" t="s">
        <v>195</v>
      </c>
      <c r="AA3" s="298"/>
      <c r="AB3" s="298"/>
      <c r="AC3" s="299"/>
    </row>
    <row r="4" spans="1:29" ht="45" x14ac:dyDescent="0.3">
      <c r="A4" s="303"/>
      <c r="B4" s="64" t="s">
        <v>8</v>
      </c>
      <c r="C4" s="63" t="s">
        <v>29</v>
      </c>
      <c r="D4" s="63" t="s">
        <v>191</v>
      </c>
      <c r="E4" s="63" t="s">
        <v>175</v>
      </c>
      <c r="F4" s="64" t="s">
        <v>8</v>
      </c>
      <c r="G4" s="63" t="s">
        <v>29</v>
      </c>
      <c r="H4" s="63" t="s">
        <v>191</v>
      </c>
      <c r="I4" s="63" t="s">
        <v>196</v>
      </c>
      <c r="J4" s="64" t="s">
        <v>8</v>
      </c>
      <c r="K4" s="63" t="s">
        <v>29</v>
      </c>
      <c r="L4" s="63" t="s">
        <v>191</v>
      </c>
      <c r="M4" s="63" t="s">
        <v>196</v>
      </c>
      <c r="N4" s="64" t="s">
        <v>8</v>
      </c>
      <c r="O4" s="63" t="s">
        <v>29</v>
      </c>
      <c r="P4" s="63" t="s">
        <v>191</v>
      </c>
      <c r="Q4" s="63" t="s">
        <v>196</v>
      </c>
      <c r="R4" s="64" t="s">
        <v>8</v>
      </c>
      <c r="S4" s="63" t="s">
        <v>29</v>
      </c>
      <c r="T4" s="63" t="s">
        <v>191</v>
      </c>
      <c r="U4" s="63" t="s">
        <v>196</v>
      </c>
      <c r="V4" s="64" t="s">
        <v>8</v>
      </c>
      <c r="W4" s="63" t="s">
        <v>29</v>
      </c>
      <c r="X4" s="177" t="s">
        <v>191</v>
      </c>
      <c r="Y4" s="63" t="s">
        <v>196</v>
      </c>
      <c r="Z4" s="64" t="s">
        <v>8</v>
      </c>
      <c r="AA4" s="63" t="s">
        <v>29</v>
      </c>
      <c r="AB4" s="63" t="s">
        <v>191</v>
      </c>
      <c r="AC4" s="63" t="s">
        <v>196</v>
      </c>
    </row>
    <row r="5" spans="1:29" ht="27" x14ac:dyDescent="0.3">
      <c r="A5" s="42" t="s">
        <v>149</v>
      </c>
      <c r="B5" s="43">
        <v>1</v>
      </c>
      <c r="C5" s="178">
        <v>9980</v>
      </c>
      <c r="D5" s="178">
        <f>ROUND(C5*16%,0)</f>
        <v>1597</v>
      </c>
      <c r="E5" s="178">
        <f>+(C5+D5)*B5</f>
        <v>11577</v>
      </c>
      <c r="F5" s="44" t="s">
        <v>150</v>
      </c>
      <c r="G5" s="178"/>
      <c r="H5" s="178"/>
      <c r="I5" s="179"/>
      <c r="J5" s="44" t="s">
        <v>150</v>
      </c>
      <c r="K5" s="178"/>
      <c r="L5" s="178"/>
      <c r="M5" s="179"/>
      <c r="N5" s="44" t="s">
        <v>150</v>
      </c>
      <c r="O5" s="178"/>
      <c r="P5" s="178"/>
      <c r="Q5" s="178"/>
      <c r="R5" s="44" t="s">
        <v>150</v>
      </c>
      <c r="S5" s="178"/>
      <c r="T5" s="178"/>
      <c r="U5" s="178"/>
      <c r="V5" s="44" t="s">
        <v>150</v>
      </c>
      <c r="W5" s="178"/>
      <c r="X5" s="180"/>
      <c r="Y5" s="178"/>
      <c r="Z5" s="44" t="s">
        <v>150</v>
      </c>
      <c r="AA5" s="178"/>
      <c r="AB5" s="178"/>
      <c r="AC5" s="179"/>
    </row>
    <row r="6" spans="1:29" ht="94.5" x14ac:dyDescent="0.3">
      <c r="A6" s="42" t="s">
        <v>151</v>
      </c>
      <c r="B6" s="44">
        <v>2</v>
      </c>
      <c r="C6" s="178">
        <v>27500</v>
      </c>
      <c r="D6" s="178">
        <f t="shared" ref="D6:D22" si="0">ROUND(C6*16%,0)</f>
        <v>4400</v>
      </c>
      <c r="E6" s="178">
        <f t="shared" ref="E6:E22" si="1">+(C6+D6)*B6</f>
        <v>63800</v>
      </c>
      <c r="F6" s="44" t="s">
        <v>150</v>
      </c>
      <c r="G6" s="178"/>
      <c r="H6" s="178"/>
      <c r="I6" s="179"/>
      <c r="J6" s="44" t="s">
        <v>150</v>
      </c>
      <c r="K6" s="178"/>
      <c r="L6" s="178"/>
      <c r="M6" s="179"/>
      <c r="N6" s="44" t="s">
        <v>150</v>
      </c>
      <c r="O6" s="178"/>
      <c r="P6" s="178"/>
      <c r="Q6" s="178"/>
      <c r="R6" s="44" t="s">
        <v>150</v>
      </c>
      <c r="S6" s="178"/>
      <c r="T6" s="178"/>
      <c r="U6" s="178"/>
      <c r="V6" s="44" t="s">
        <v>150</v>
      </c>
      <c r="W6" s="178"/>
      <c r="X6" s="180"/>
      <c r="Y6" s="178"/>
      <c r="Z6" s="44" t="s">
        <v>150</v>
      </c>
      <c r="AA6" s="178"/>
      <c r="AB6" s="178"/>
      <c r="AC6" s="179"/>
    </row>
    <row r="7" spans="1:29" ht="81" x14ac:dyDescent="0.3">
      <c r="A7" s="42" t="s">
        <v>152</v>
      </c>
      <c r="B7" s="44" t="s">
        <v>153</v>
      </c>
      <c r="C7" s="178">
        <v>8000</v>
      </c>
      <c r="D7" s="178">
        <f t="shared" si="0"/>
        <v>1280</v>
      </c>
      <c r="E7" s="178">
        <f>+(C7+D7)*2</f>
        <v>18560</v>
      </c>
      <c r="F7" s="44" t="s">
        <v>150</v>
      </c>
      <c r="G7" s="178"/>
      <c r="H7" s="178"/>
      <c r="I7" s="179"/>
      <c r="J7" s="44" t="s">
        <v>150</v>
      </c>
      <c r="K7" s="178"/>
      <c r="L7" s="178"/>
      <c r="M7" s="179"/>
      <c r="N7" s="44" t="s">
        <v>150</v>
      </c>
      <c r="O7" s="178"/>
      <c r="P7" s="178"/>
      <c r="Q7" s="178"/>
      <c r="R7" s="44" t="s">
        <v>150</v>
      </c>
      <c r="S7" s="178"/>
      <c r="T7" s="178"/>
      <c r="U7" s="178"/>
      <c r="V7" s="44" t="s">
        <v>150</v>
      </c>
      <c r="W7" s="178"/>
      <c r="X7" s="180"/>
      <c r="Y7" s="178"/>
      <c r="Z7" s="44" t="s">
        <v>150</v>
      </c>
      <c r="AA7" s="178"/>
      <c r="AB7" s="178"/>
      <c r="AC7" s="179"/>
    </row>
    <row r="8" spans="1:29" ht="40.5" x14ac:dyDescent="0.3">
      <c r="A8" s="42" t="s">
        <v>154</v>
      </c>
      <c r="B8" s="43">
        <v>6</v>
      </c>
      <c r="C8" s="178">
        <v>12470</v>
      </c>
      <c r="D8" s="178">
        <f t="shared" si="0"/>
        <v>1995</v>
      </c>
      <c r="E8" s="178">
        <f t="shared" si="1"/>
        <v>86790</v>
      </c>
      <c r="F8" s="44">
        <v>1</v>
      </c>
      <c r="G8" s="178">
        <v>12470</v>
      </c>
      <c r="H8" s="178">
        <f t="shared" ref="H8:H21" si="2">ROUND(G8*16%,0)</f>
        <v>1995</v>
      </c>
      <c r="I8" s="179">
        <f t="shared" ref="I8:I21" si="3">+(G8+H8)*F8</f>
        <v>14465</v>
      </c>
      <c r="J8" s="44">
        <v>1</v>
      </c>
      <c r="K8" s="178">
        <v>12470</v>
      </c>
      <c r="L8" s="178">
        <f t="shared" ref="L8:L21" si="4">ROUND(K8*16%,0)</f>
        <v>1995</v>
      </c>
      <c r="M8" s="179">
        <f t="shared" ref="M8:M21" si="5">+(K8+L8)*J8</f>
        <v>14465</v>
      </c>
      <c r="N8" s="44">
        <v>1</v>
      </c>
      <c r="O8" s="178">
        <v>12470</v>
      </c>
      <c r="P8" s="178">
        <f t="shared" ref="P8:P21" si="6">ROUND(O8*16%,0)</f>
        <v>1995</v>
      </c>
      <c r="Q8" s="178">
        <f t="shared" ref="Q8:Q21" si="7">+(O8+P8)*N8</f>
        <v>14465</v>
      </c>
      <c r="R8" s="44">
        <v>1</v>
      </c>
      <c r="S8" s="178">
        <v>12470</v>
      </c>
      <c r="T8" s="178">
        <f t="shared" ref="T8:T21" si="8">ROUND(S8*16%,0)</f>
        <v>1995</v>
      </c>
      <c r="U8" s="178">
        <f t="shared" ref="U8:U21" si="9">+(S8+T8)*R8</f>
        <v>14465</v>
      </c>
      <c r="V8" s="44">
        <v>2</v>
      </c>
      <c r="W8" s="178">
        <v>12470</v>
      </c>
      <c r="X8" s="180"/>
      <c r="Y8" s="178">
        <f t="shared" ref="Y8:Y21" si="10">+(W8+X8)*V8</f>
        <v>24940</v>
      </c>
      <c r="Z8" s="44" t="s">
        <v>155</v>
      </c>
      <c r="AA8" s="178">
        <v>12470</v>
      </c>
      <c r="AB8" s="178">
        <f t="shared" ref="AB8:AB21" si="11">ROUND(AA8*16%,0)</f>
        <v>1995</v>
      </c>
      <c r="AC8" s="179">
        <f>+(AA8+AB8)*22</f>
        <v>318230</v>
      </c>
    </row>
    <row r="9" spans="1:29" x14ac:dyDescent="0.3">
      <c r="A9" s="42" t="s">
        <v>156</v>
      </c>
      <c r="B9" s="43">
        <v>15</v>
      </c>
      <c r="C9" s="178">
        <v>1610</v>
      </c>
      <c r="D9" s="178">
        <f t="shared" si="0"/>
        <v>258</v>
      </c>
      <c r="E9" s="178">
        <f t="shared" si="1"/>
        <v>28020</v>
      </c>
      <c r="F9" s="44">
        <v>2</v>
      </c>
      <c r="G9" s="178">
        <v>1610</v>
      </c>
      <c r="H9" s="178">
        <f t="shared" si="2"/>
        <v>258</v>
      </c>
      <c r="I9" s="179">
        <f t="shared" si="3"/>
        <v>3736</v>
      </c>
      <c r="J9" s="44">
        <v>2</v>
      </c>
      <c r="K9" s="178">
        <v>1610</v>
      </c>
      <c r="L9" s="178">
        <f t="shared" si="4"/>
        <v>258</v>
      </c>
      <c r="M9" s="179">
        <f t="shared" si="5"/>
        <v>3736</v>
      </c>
      <c r="N9" s="44">
        <v>2</v>
      </c>
      <c r="O9" s="178">
        <v>1610</v>
      </c>
      <c r="P9" s="178">
        <f t="shared" si="6"/>
        <v>258</v>
      </c>
      <c r="Q9" s="178">
        <f t="shared" si="7"/>
        <v>3736</v>
      </c>
      <c r="R9" s="44">
        <v>2</v>
      </c>
      <c r="S9" s="178">
        <v>1610</v>
      </c>
      <c r="T9" s="178">
        <f t="shared" si="8"/>
        <v>258</v>
      </c>
      <c r="U9" s="178">
        <f t="shared" si="9"/>
        <v>3736</v>
      </c>
      <c r="V9" s="44">
        <v>4</v>
      </c>
      <c r="W9" s="178">
        <v>1610</v>
      </c>
      <c r="X9" s="180"/>
      <c r="Y9" s="178">
        <f t="shared" si="10"/>
        <v>6440</v>
      </c>
      <c r="Z9" s="44" t="s">
        <v>157</v>
      </c>
      <c r="AA9" s="178">
        <v>1610</v>
      </c>
      <c r="AB9" s="178">
        <f t="shared" si="11"/>
        <v>258</v>
      </c>
      <c r="AC9" s="179">
        <f>+(AA9+AB9)*44</f>
        <v>82192</v>
      </c>
    </row>
    <row r="10" spans="1:29" ht="27" x14ac:dyDescent="0.3">
      <c r="A10" s="42" t="s">
        <v>158</v>
      </c>
      <c r="B10" s="43">
        <v>60</v>
      </c>
      <c r="C10" s="178">
        <v>2450</v>
      </c>
      <c r="D10" s="178">
        <f t="shared" si="0"/>
        <v>392</v>
      </c>
      <c r="E10" s="178">
        <f t="shared" si="1"/>
        <v>170520</v>
      </c>
      <c r="F10" s="44" t="s">
        <v>150</v>
      </c>
      <c r="G10" s="178"/>
      <c r="H10" s="178"/>
      <c r="I10" s="179"/>
      <c r="J10" s="44" t="s">
        <v>150</v>
      </c>
      <c r="K10" s="178"/>
      <c r="L10" s="178"/>
      <c r="M10" s="179"/>
      <c r="N10" s="44" t="s">
        <v>150</v>
      </c>
      <c r="O10" s="178"/>
      <c r="P10" s="178"/>
      <c r="Q10" s="178"/>
      <c r="R10" s="44" t="s">
        <v>150</v>
      </c>
      <c r="S10" s="178"/>
      <c r="T10" s="178"/>
      <c r="U10" s="178"/>
      <c r="V10" s="44" t="s">
        <v>150</v>
      </c>
      <c r="W10" s="178"/>
      <c r="X10" s="180"/>
      <c r="Y10" s="178"/>
      <c r="Z10" s="44" t="s">
        <v>150</v>
      </c>
      <c r="AA10" s="178"/>
      <c r="AB10" s="178"/>
      <c r="AC10" s="179"/>
    </row>
    <row r="11" spans="1:29" x14ac:dyDescent="0.3">
      <c r="A11" s="42" t="s">
        <v>159</v>
      </c>
      <c r="B11" s="43">
        <v>9</v>
      </c>
      <c r="C11" s="178">
        <v>6190</v>
      </c>
      <c r="D11" s="178">
        <f t="shared" si="0"/>
        <v>990</v>
      </c>
      <c r="E11" s="178">
        <f t="shared" si="1"/>
        <v>64620</v>
      </c>
      <c r="F11" s="44">
        <v>1</v>
      </c>
      <c r="G11" s="178">
        <v>6190</v>
      </c>
      <c r="H11" s="178">
        <f t="shared" si="2"/>
        <v>990</v>
      </c>
      <c r="I11" s="179">
        <f t="shared" si="3"/>
        <v>7180</v>
      </c>
      <c r="J11" s="44">
        <v>1</v>
      </c>
      <c r="K11" s="178">
        <v>6190</v>
      </c>
      <c r="L11" s="178">
        <f t="shared" si="4"/>
        <v>990</v>
      </c>
      <c r="M11" s="179">
        <f t="shared" si="5"/>
        <v>7180</v>
      </c>
      <c r="N11" s="44">
        <v>1</v>
      </c>
      <c r="O11" s="178">
        <v>6190</v>
      </c>
      <c r="P11" s="178">
        <f t="shared" si="6"/>
        <v>990</v>
      </c>
      <c r="Q11" s="178">
        <f t="shared" si="7"/>
        <v>7180</v>
      </c>
      <c r="R11" s="44">
        <v>1</v>
      </c>
      <c r="S11" s="178">
        <v>6190</v>
      </c>
      <c r="T11" s="178">
        <f t="shared" si="8"/>
        <v>990</v>
      </c>
      <c r="U11" s="178">
        <f t="shared" si="9"/>
        <v>7180</v>
      </c>
      <c r="V11" s="44" t="s">
        <v>160</v>
      </c>
      <c r="W11" s="178"/>
      <c r="X11" s="180"/>
      <c r="Y11" s="178"/>
      <c r="Z11" s="44" t="s">
        <v>160</v>
      </c>
      <c r="AA11" s="178"/>
      <c r="AB11" s="178"/>
      <c r="AC11" s="179"/>
    </row>
    <row r="12" spans="1:29" ht="27" x14ac:dyDescent="0.3">
      <c r="A12" s="42" t="s">
        <v>161</v>
      </c>
      <c r="B12" s="43">
        <v>8</v>
      </c>
      <c r="C12" s="178">
        <v>33200</v>
      </c>
      <c r="D12" s="178">
        <f t="shared" si="0"/>
        <v>5312</v>
      </c>
      <c r="E12" s="178">
        <f t="shared" si="1"/>
        <v>308096</v>
      </c>
      <c r="F12" s="44">
        <v>1</v>
      </c>
      <c r="G12" s="178">
        <v>33200</v>
      </c>
      <c r="H12" s="178">
        <f t="shared" si="2"/>
        <v>5312</v>
      </c>
      <c r="I12" s="179">
        <f t="shared" si="3"/>
        <v>38512</v>
      </c>
      <c r="J12" s="44">
        <v>1</v>
      </c>
      <c r="K12" s="178">
        <v>33200</v>
      </c>
      <c r="L12" s="178">
        <f t="shared" si="4"/>
        <v>5312</v>
      </c>
      <c r="M12" s="179">
        <f t="shared" si="5"/>
        <v>38512</v>
      </c>
      <c r="N12" s="44" t="s">
        <v>150</v>
      </c>
      <c r="O12" s="178"/>
      <c r="P12" s="178"/>
      <c r="Q12" s="178"/>
      <c r="R12" s="44">
        <v>1</v>
      </c>
      <c r="S12" s="178">
        <v>33200</v>
      </c>
      <c r="T12" s="178">
        <f t="shared" si="8"/>
        <v>5312</v>
      </c>
      <c r="U12" s="178">
        <f t="shared" si="9"/>
        <v>38512</v>
      </c>
      <c r="V12" s="44" t="s">
        <v>160</v>
      </c>
      <c r="W12" s="178"/>
      <c r="X12" s="180"/>
      <c r="Y12" s="178"/>
      <c r="Z12" s="44" t="s">
        <v>160</v>
      </c>
      <c r="AA12" s="178"/>
      <c r="AB12" s="178"/>
      <c r="AC12" s="179"/>
    </row>
    <row r="13" spans="1:29" ht="27" x14ac:dyDescent="0.3">
      <c r="A13" s="42" t="s">
        <v>162</v>
      </c>
      <c r="B13" s="43">
        <v>8</v>
      </c>
      <c r="C13" s="178">
        <v>14800</v>
      </c>
      <c r="D13" s="178">
        <f t="shared" si="0"/>
        <v>2368</v>
      </c>
      <c r="E13" s="178">
        <f t="shared" si="1"/>
        <v>137344</v>
      </c>
      <c r="F13" s="44" t="s">
        <v>150</v>
      </c>
      <c r="G13" s="178"/>
      <c r="H13" s="178"/>
      <c r="I13" s="179"/>
      <c r="J13" s="44" t="s">
        <v>150</v>
      </c>
      <c r="K13" s="178"/>
      <c r="L13" s="178"/>
      <c r="M13" s="179"/>
      <c r="N13" s="44" t="s">
        <v>150</v>
      </c>
      <c r="O13" s="178"/>
      <c r="P13" s="178"/>
      <c r="Q13" s="178"/>
      <c r="R13" s="44" t="s">
        <v>150</v>
      </c>
      <c r="S13" s="178"/>
      <c r="T13" s="178"/>
      <c r="U13" s="178"/>
      <c r="V13" s="44" t="s">
        <v>150</v>
      </c>
      <c r="W13" s="178"/>
      <c r="X13" s="180"/>
      <c r="Y13" s="178"/>
      <c r="Z13" s="44" t="s">
        <v>150</v>
      </c>
      <c r="AA13" s="178"/>
      <c r="AB13" s="178"/>
      <c r="AC13" s="179"/>
    </row>
    <row r="14" spans="1:29" ht="27" x14ac:dyDescent="0.3">
      <c r="A14" s="42" t="s">
        <v>163</v>
      </c>
      <c r="B14" s="43">
        <v>1</v>
      </c>
      <c r="C14" s="178">
        <v>6500</v>
      </c>
      <c r="D14" s="178">
        <f t="shared" si="0"/>
        <v>1040</v>
      </c>
      <c r="E14" s="178">
        <f t="shared" si="1"/>
        <v>7540</v>
      </c>
      <c r="F14" s="44" t="s">
        <v>150</v>
      </c>
      <c r="G14" s="178"/>
      <c r="H14" s="178"/>
      <c r="I14" s="179"/>
      <c r="J14" s="44" t="s">
        <v>150</v>
      </c>
      <c r="K14" s="178"/>
      <c r="L14" s="178"/>
      <c r="M14" s="179"/>
      <c r="N14" s="44" t="s">
        <v>150</v>
      </c>
      <c r="O14" s="178"/>
      <c r="P14" s="178"/>
      <c r="Q14" s="178"/>
      <c r="R14" s="44" t="s">
        <v>150</v>
      </c>
      <c r="S14" s="178"/>
      <c r="T14" s="178"/>
      <c r="U14" s="178"/>
      <c r="V14" s="44" t="s">
        <v>150</v>
      </c>
      <c r="W14" s="178"/>
      <c r="X14" s="180"/>
      <c r="Y14" s="178"/>
      <c r="Z14" s="44" t="s">
        <v>150</v>
      </c>
      <c r="AA14" s="178"/>
      <c r="AB14" s="178"/>
      <c r="AC14" s="179"/>
    </row>
    <row r="15" spans="1:29" ht="27" x14ac:dyDescent="0.3">
      <c r="A15" s="42" t="s">
        <v>164</v>
      </c>
      <c r="B15" s="43">
        <v>1</v>
      </c>
      <c r="C15" s="178">
        <v>3200</v>
      </c>
      <c r="D15" s="178">
        <f t="shared" si="0"/>
        <v>512</v>
      </c>
      <c r="E15" s="178">
        <f t="shared" si="1"/>
        <v>3712</v>
      </c>
      <c r="F15" s="44" t="s">
        <v>150</v>
      </c>
      <c r="G15" s="178"/>
      <c r="H15" s="178"/>
      <c r="I15" s="179"/>
      <c r="J15" s="44" t="s">
        <v>150</v>
      </c>
      <c r="K15" s="178"/>
      <c r="L15" s="178"/>
      <c r="M15" s="179"/>
      <c r="N15" s="44" t="s">
        <v>150</v>
      </c>
      <c r="O15" s="178"/>
      <c r="P15" s="178"/>
      <c r="Q15" s="178"/>
      <c r="R15" s="44" t="s">
        <v>150</v>
      </c>
      <c r="S15" s="178"/>
      <c r="T15" s="178"/>
      <c r="U15" s="178"/>
      <c r="V15" s="44" t="s">
        <v>150</v>
      </c>
      <c r="W15" s="178"/>
      <c r="X15" s="180"/>
      <c r="Y15" s="178"/>
      <c r="Z15" s="44" t="s">
        <v>150</v>
      </c>
      <c r="AA15" s="178"/>
      <c r="AB15" s="178"/>
      <c r="AC15" s="179"/>
    </row>
    <row r="16" spans="1:29" ht="27" x14ac:dyDescent="0.3">
      <c r="A16" s="42" t="s">
        <v>165</v>
      </c>
      <c r="B16" s="43">
        <v>2</v>
      </c>
      <c r="C16" s="178">
        <v>3050</v>
      </c>
      <c r="D16" s="178">
        <f t="shared" si="0"/>
        <v>488</v>
      </c>
      <c r="E16" s="178">
        <f t="shared" si="1"/>
        <v>7076</v>
      </c>
      <c r="F16" s="44" t="s">
        <v>150</v>
      </c>
      <c r="G16" s="178"/>
      <c r="H16" s="178"/>
      <c r="I16" s="179"/>
      <c r="J16" s="44" t="s">
        <v>150</v>
      </c>
      <c r="K16" s="178"/>
      <c r="L16" s="178"/>
      <c r="M16" s="179"/>
      <c r="N16" s="44" t="s">
        <v>150</v>
      </c>
      <c r="O16" s="178"/>
      <c r="P16" s="178"/>
      <c r="Q16" s="178"/>
      <c r="R16" s="44" t="s">
        <v>150</v>
      </c>
      <c r="S16" s="178"/>
      <c r="T16" s="178"/>
      <c r="U16" s="178"/>
      <c r="V16" s="44" t="s">
        <v>150</v>
      </c>
      <c r="W16" s="178"/>
      <c r="X16" s="180"/>
      <c r="Y16" s="178"/>
      <c r="Z16" s="44" t="s">
        <v>150</v>
      </c>
      <c r="AA16" s="178"/>
      <c r="AB16" s="178"/>
      <c r="AC16" s="179"/>
    </row>
    <row r="17" spans="1:31" ht="54" x14ac:dyDescent="0.3">
      <c r="A17" s="42" t="s">
        <v>166</v>
      </c>
      <c r="B17" s="43">
        <v>1</v>
      </c>
      <c r="C17" s="178">
        <v>37500</v>
      </c>
      <c r="D17" s="178">
        <f t="shared" si="0"/>
        <v>6000</v>
      </c>
      <c r="E17" s="178">
        <f t="shared" si="1"/>
        <v>43500</v>
      </c>
      <c r="F17" s="44" t="s">
        <v>150</v>
      </c>
      <c r="G17" s="178"/>
      <c r="H17" s="178"/>
      <c r="I17" s="179"/>
      <c r="J17" s="44" t="s">
        <v>150</v>
      </c>
      <c r="K17" s="178"/>
      <c r="L17" s="178"/>
      <c r="M17" s="179"/>
      <c r="N17" s="44" t="s">
        <v>150</v>
      </c>
      <c r="O17" s="178"/>
      <c r="P17" s="178"/>
      <c r="Q17" s="178"/>
      <c r="R17" s="44" t="s">
        <v>150</v>
      </c>
      <c r="S17" s="178"/>
      <c r="T17" s="178"/>
      <c r="U17" s="178"/>
      <c r="V17" s="44" t="s">
        <v>150</v>
      </c>
      <c r="W17" s="178"/>
      <c r="X17" s="180"/>
      <c r="Y17" s="178"/>
      <c r="Z17" s="44" t="s">
        <v>150</v>
      </c>
      <c r="AA17" s="178"/>
      <c r="AB17" s="178"/>
      <c r="AC17" s="179"/>
    </row>
    <row r="18" spans="1:31" x14ac:dyDescent="0.3">
      <c r="A18" s="42" t="s">
        <v>167</v>
      </c>
      <c r="B18" s="43">
        <v>2</v>
      </c>
      <c r="C18" s="178">
        <v>5500</v>
      </c>
      <c r="D18" s="178">
        <f t="shared" si="0"/>
        <v>880</v>
      </c>
      <c r="E18" s="178">
        <f t="shared" si="1"/>
        <v>12760</v>
      </c>
      <c r="F18" s="44">
        <v>1</v>
      </c>
      <c r="G18" s="178">
        <v>5500</v>
      </c>
      <c r="H18" s="178">
        <f t="shared" si="2"/>
        <v>880</v>
      </c>
      <c r="I18" s="179">
        <f t="shared" si="3"/>
        <v>6380</v>
      </c>
      <c r="J18" s="44">
        <v>1</v>
      </c>
      <c r="K18" s="178">
        <v>5500</v>
      </c>
      <c r="L18" s="178">
        <f t="shared" si="4"/>
        <v>880</v>
      </c>
      <c r="M18" s="179">
        <f t="shared" si="5"/>
        <v>6380</v>
      </c>
      <c r="N18" s="44">
        <v>1</v>
      </c>
      <c r="O18" s="178">
        <v>5500</v>
      </c>
      <c r="P18" s="178">
        <f t="shared" si="6"/>
        <v>880</v>
      </c>
      <c r="Q18" s="178">
        <f t="shared" si="7"/>
        <v>6380</v>
      </c>
      <c r="R18" s="44">
        <v>1</v>
      </c>
      <c r="S18" s="178">
        <v>5500</v>
      </c>
      <c r="T18" s="178">
        <f t="shared" si="8"/>
        <v>880</v>
      </c>
      <c r="U18" s="178">
        <f t="shared" si="9"/>
        <v>6380</v>
      </c>
      <c r="V18" s="44">
        <v>2</v>
      </c>
      <c r="W18" s="178">
        <v>5500</v>
      </c>
      <c r="X18" s="180"/>
      <c r="Y18" s="178">
        <f t="shared" si="10"/>
        <v>11000</v>
      </c>
      <c r="Z18" s="44" t="s">
        <v>155</v>
      </c>
      <c r="AA18" s="178">
        <v>5500</v>
      </c>
      <c r="AB18" s="178">
        <f t="shared" si="11"/>
        <v>880</v>
      </c>
      <c r="AC18" s="179">
        <f>+(AA18+AB18)*22</f>
        <v>140360</v>
      </c>
    </row>
    <row r="19" spans="1:31" ht="27" x14ac:dyDescent="0.3">
      <c r="A19" s="42" t="s">
        <v>168</v>
      </c>
      <c r="B19" s="43">
        <v>1</v>
      </c>
      <c r="C19" s="178">
        <v>28200</v>
      </c>
      <c r="D19" s="178">
        <f t="shared" si="0"/>
        <v>4512</v>
      </c>
      <c r="E19" s="178">
        <f t="shared" si="1"/>
        <v>32712</v>
      </c>
      <c r="F19" s="44" t="s">
        <v>150</v>
      </c>
      <c r="G19" s="178"/>
      <c r="H19" s="178"/>
      <c r="I19" s="179"/>
      <c r="J19" s="44" t="s">
        <v>150</v>
      </c>
      <c r="K19" s="178"/>
      <c r="L19" s="178"/>
      <c r="M19" s="179"/>
      <c r="N19" s="44" t="s">
        <v>150</v>
      </c>
      <c r="O19" s="178"/>
      <c r="P19" s="178"/>
      <c r="Q19" s="178"/>
      <c r="R19" s="44" t="s">
        <v>150</v>
      </c>
      <c r="S19" s="178"/>
      <c r="T19" s="178"/>
      <c r="U19" s="178"/>
      <c r="V19" s="44" t="s">
        <v>150</v>
      </c>
      <c r="W19" s="178"/>
      <c r="X19" s="180"/>
      <c r="Y19" s="178"/>
      <c r="Z19" s="44" t="s">
        <v>150</v>
      </c>
      <c r="AA19" s="178"/>
      <c r="AB19" s="178"/>
      <c r="AC19" s="179"/>
    </row>
    <row r="20" spans="1:31" ht="27" x14ac:dyDescent="0.3">
      <c r="A20" s="42" t="s">
        <v>169</v>
      </c>
      <c r="B20" s="43">
        <v>1</v>
      </c>
      <c r="C20" s="178">
        <v>33200</v>
      </c>
      <c r="D20" s="178">
        <f t="shared" si="0"/>
        <v>5312</v>
      </c>
      <c r="E20" s="178">
        <f t="shared" si="1"/>
        <v>38512</v>
      </c>
      <c r="F20" s="44" t="s">
        <v>150</v>
      </c>
      <c r="G20" s="178"/>
      <c r="H20" s="178"/>
      <c r="I20" s="179"/>
      <c r="J20" s="44" t="s">
        <v>150</v>
      </c>
      <c r="K20" s="178"/>
      <c r="L20" s="178"/>
      <c r="M20" s="179"/>
      <c r="N20" s="44" t="s">
        <v>150</v>
      </c>
      <c r="O20" s="178"/>
      <c r="P20" s="178"/>
      <c r="Q20" s="178"/>
      <c r="R20" s="44" t="s">
        <v>150</v>
      </c>
      <c r="S20" s="178"/>
      <c r="T20" s="178"/>
      <c r="U20" s="178"/>
      <c r="V20" s="44" t="s">
        <v>150</v>
      </c>
      <c r="W20" s="178"/>
      <c r="X20" s="180"/>
      <c r="Y20" s="178"/>
      <c r="Z20" s="44" t="s">
        <v>150</v>
      </c>
      <c r="AA20" s="178"/>
      <c r="AB20" s="178"/>
      <c r="AC20" s="179"/>
    </row>
    <row r="21" spans="1:31" ht="27" x14ac:dyDescent="0.3">
      <c r="A21" s="42" t="s">
        <v>170</v>
      </c>
      <c r="B21" s="43">
        <v>9</v>
      </c>
      <c r="C21" s="178">
        <v>1000</v>
      </c>
      <c r="D21" s="178">
        <f t="shared" si="0"/>
        <v>160</v>
      </c>
      <c r="E21" s="178">
        <f t="shared" si="1"/>
        <v>10440</v>
      </c>
      <c r="F21" s="44">
        <v>1</v>
      </c>
      <c r="G21" s="178">
        <v>1000</v>
      </c>
      <c r="H21" s="178">
        <f t="shared" si="2"/>
        <v>160</v>
      </c>
      <c r="I21" s="179">
        <f t="shared" si="3"/>
        <v>1160</v>
      </c>
      <c r="J21" s="44">
        <v>1</v>
      </c>
      <c r="K21" s="178">
        <v>1000</v>
      </c>
      <c r="L21" s="178">
        <f t="shared" si="4"/>
        <v>160</v>
      </c>
      <c r="M21" s="179">
        <f t="shared" si="5"/>
        <v>1160</v>
      </c>
      <c r="N21" s="44">
        <v>1</v>
      </c>
      <c r="O21" s="178">
        <v>1000</v>
      </c>
      <c r="P21" s="178">
        <f t="shared" si="6"/>
        <v>160</v>
      </c>
      <c r="Q21" s="178">
        <f t="shared" si="7"/>
        <v>1160</v>
      </c>
      <c r="R21" s="44">
        <v>1</v>
      </c>
      <c r="S21" s="178">
        <v>1000</v>
      </c>
      <c r="T21" s="178">
        <f t="shared" si="8"/>
        <v>160</v>
      </c>
      <c r="U21" s="178">
        <f t="shared" si="9"/>
        <v>1160</v>
      </c>
      <c r="V21" s="44">
        <v>2</v>
      </c>
      <c r="W21" s="178">
        <v>1000</v>
      </c>
      <c r="X21" s="180"/>
      <c r="Y21" s="178">
        <f t="shared" si="10"/>
        <v>2000</v>
      </c>
      <c r="Z21" s="44" t="s">
        <v>155</v>
      </c>
      <c r="AA21" s="178">
        <v>1000</v>
      </c>
      <c r="AB21" s="178">
        <f t="shared" si="11"/>
        <v>160</v>
      </c>
      <c r="AC21" s="179">
        <f>+(AA21+AB21)*22</f>
        <v>25520</v>
      </c>
    </row>
    <row r="22" spans="1:31" ht="27" x14ac:dyDescent="0.3">
      <c r="A22" s="42" t="s">
        <v>171</v>
      </c>
      <c r="B22" s="43">
        <v>1</v>
      </c>
      <c r="C22" s="178">
        <v>3700</v>
      </c>
      <c r="D22" s="178">
        <f t="shared" si="0"/>
        <v>592</v>
      </c>
      <c r="E22" s="178">
        <f t="shared" si="1"/>
        <v>4292</v>
      </c>
      <c r="F22" s="44" t="s">
        <v>150</v>
      </c>
      <c r="G22" s="178"/>
      <c r="H22" s="178"/>
      <c r="I22" s="179"/>
      <c r="J22" s="44" t="s">
        <v>150</v>
      </c>
      <c r="K22" s="178"/>
      <c r="L22" s="178"/>
      <c r="M22" s="179"/>
      <c r="N22" s="44" t="s">
        <v>150</v>
      </c>
      <c r="O22" s="178"/>
      <c r="P22" s="178"/>
      <c r="Q22" s="178"/>
      <c r="R22" s="44" t="s">
        <v>150</v>
      </c>
      <c r="S22" s="178"/>
      <c r="T22" s="178"/>
      <c r="U22" s="178"/>
      <c r="V22" s="44" t="s">
        <v>150</v>
      </c>
      <c r="W22" s="178"/>
      <c r="X22" s="180"/>
      <c r="Y22" s="178"/>
      <c r="Z22" s="44" t="s">
        <v>150</v>
      </c>
      <c r="AA22" s="178"/>
      <c r="AB22" s="178"/>
      <c r="AC22" s="179"/>
    </row>
    <row r="23" spans="1:31" x14ac:dyDescent="0.3">
      <c r="A23" s="40"/>
      <c r="B23" s="181"/>
      <c r="C23" s="182"/>
      <c r="D23" s="188"/>
      <c r="E23" s="189">
        <f>SUM(E5:E22)</f>
        <v>1049871</v>
      </c>
      <c r="F23" s="183"/>
      <c r="G23" s="182"/>
      <c r="H23" s="188"/>
      <c r="I23" s="189">
        <f>SUM(I5:I22)</f>
        <v>71433</v>
      </c>
      <c r="J23" s="183"/>
      <c r="K23" s="182"/>
      <c r="L23" s="188"/>
      <c r="M23" s="189">
        <f>SUM(M5:M22)</f>
        <v>71433</v>
      </c>
      <c r="N23" s="183"/>
      <c r="O23" s="182"/>
      <c r="P23" s="188"/>
      <c r="Q23" s="189">
        <f>SUM(Q8:Q22)</f>
        <v>32921</v>
      </c>
      <c r="R23" s="183"/>
      <c r="S23" s="182"/>
      <c r="T23" s="188"/>
      <c r="U23" s="189">
        <f>SUM(U5:U22)</f>
        <v>71433</v>
      </c>
      <c r="V23" s="183"/>
      <c r="W23" s="182"/>
      <c r="X23" s="190"/>
      <c r="Y23" s="189">
        <f>SUM(Y5:Y22)</f>
        <v>44380</v>
      </c>
      <c r="Z23" s="183"/>
      <c r="AA23" s="182"/>
      <c r="AB23" s="188"/>
      <c r="AC23" s="189">
        <f>SUM(AC5:AC22)</f>
        <v>566302</v>
      </c>
      <c r="AD23" s="184">
        <f>SUM(E23:AC23)</f>
        <v>1907773</v>
      </c>
      <c r="AE23" s="185"/>
    </row>
    <row r="24" spans="1:31" s="198" customFormat="1" x14ac:dyDescent="0.3">
      <c r="A24" s="193"/>
      <c r="B24" s="194"/>
      <c r="C24" s="195"/>
      <c r="D24" s="195"/>
      <c r="E24" s="196"/>
      <c r="F24" s="197"/>
      <c r="G24" s="195"/>
      <c r="H24" s="195"/>
      <c r="I24" s="196"/>
      <c r="J24" s="197"/>
      <c r="K24" s="195"/>
      <c r="L24" s="195"/>
      <c r="M24" s="196"/>
      <c r="N24" s="197"/>
      <c r="O24" s="195"/>
      <c r="P24" s="199"/>
      <c r="Q24" s="200"/>
      <c r="R24" s="201"/>
      <c r="S24" s="199"/>
      <c r="T24" s="199"/>
      <c r="U24" s="200"/>
      <c r="V24" s="201"/>
      <c r="W24" s="199"/>
      <c r="X24" s="202"/>
      <c r="Y24" s="200"/>
      <c r="Z24" s="201"/>
      <c r="AA24" s="199"/>
      <c r="AB24" s="199"/>
      <c r="AC24" s="200"/>
      <c r="AD24" s="203"/>
      <c r="AE24" s="204"/>
    </row>
    <row r="25" spans="1:31" ht="94.5" x14ac:dyDescent="0.3">
      <c r="A25" s="40"/>
      <c r="B25" s="40"/>
      <c r="C25" s="40"/>
      <c r="D25" s="191" t="s">
        <v>197</v>
      </c>
      <c r="E25" s="192">
        <f>AD23*8</f>
        <v>15262184</v>
      </c>
      <c r="F25" s="40"/>
      <c r="G25" s="40"/>
      <c r="H25" s="191" t="s">
        <v>216</v>
      </c>
      <c r="I25" s="192">
        <f>AD23*12*1.0366</f>
        <v>23731169.9016</v>
      </c>
      <c r="J25" s="40"/>
      <c r="K25" s="186"/>
      <c r="L25" s="191" t="s">
        <v>217</v>
      </c>
      <c r="M25" s="192">
        <f>(I25/12)*5*1.0366</f>
        <v>10249887.799999399</v>
      </c>
      <c r="N25" s="41"/>
      <c r="O25" s="41"/>
      <c r="P25" s="41"/>
      <c r="Q25" s="206"/>
      <c r="R25" s="41"/>
      <c r="S25" s="41"/>
      <c r="T25" s="41"/>
      <c r="U25" s="206"/>
      <c r="V25" s="45"/>
      <c r="W25" s="45"/>
      <c r="X25" s="207"/>
      <c r="Y25" s="206"/>
      <c r="Z25" s="41"/>
      <c r="AA25" s="41"/>
      <c r="AB25" s="41"/>
      <c r="AC25" s="206"/>
      <c r="AE25" s="185"/>
    </row>
    <row r="26" spans="1:31" x14ac:dyDescent="0.3">
      <c r="A26" s="40"/>
      <c r="B26" s="40"/>
      <c r="C26" s="40"/>
      <c r="D26" s="46"/>
      <c r="E26" s="40"/>
      <c r="F26" s="40"/>
      <c r="G26" s="40"/>
      <c r="H26" s="40"/>
      <c r="I26" s="40"/>
      <c r="J26" s="40"/>
      <c r="K26" s="186"/>
      <c r="L26" s="186"/>
      <c r="M26" s="40"/>
      <c r="N26" s="40"/>
      <c r="O26" s="40"/>
      <c r="P26" s="40"/>
      <c r="Q26" s="40"/>
      <c r="R26" s="40"/>
      <c r="S26" s="40"/>
      <c r="T26" s="40"/>
      <c r="U26" s="40"/>
      <c r="V26" s="40"/>
      <c r="W26" s="40"/>
      <c r="X26" s="40"/>
      <c r="Y26" s="40"/>
      <c r="Z26" s="40"/>
      <c r="AA26" s="41"/>
      <c r="AB26" s="40"/>
      <c r="AC26" s="205"/>
    </row>
    <row r="27" spans="1:31" ht="23.25" x14ac:dyDescent="0.3">
      <c r="A27" s="40"/>
      <c r="B27" s="40"/>
      <c r="C27" s="40"/>
      <c r="D27" s="293" t="s">
        <v>198</v>
      </c>
      <c r="E27" s="293"/>
      <c r="F27" s="293"/>
      <c r="G27" s="293"/>
      <c r="H27" s="293"/>
      <c r="I27" s="293"/>
      <c r="J27" s="293"/>
      <c r="K27" s="293"/>
      <c r="L27" s="293"/>
      <c r="M27" s="293"/>
      <c r="N27" s="293"/>
      <c r="O27" s="293"/>
      <c r="P27" s="293"/>
      <c r="Q27" s="300">
        <f>E25+I25+M25</f>
        <v>49243241.701599404</v>
      </c>
      <c r="R27" s="301"/>
      <c r="S27" s="301"/>
      <c r="T27" s="301"/>
      <c r="U27" s="301"/>
      <c r="V27" s="301"/>
      <c r="W27" s="301"/>
      <c r="X27" s="301"/>
      <c r="Y27" s="301"/>
      <c r="Z27" s="301"/>
      <c r="AA27" s="301"/>
      <c r="AB27" s="301"/>
      <c r="AC27" s="302"/>
    </row>
    <row r="28" spans="1:31" x14ac:dyDescent="0.3">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1"/>
      <c r="AB28" s="40"/>
    </row>
    <row r="29" spans="1:31" ht="5.25" customHeight="1" x14ac:dyDescent="0.3">
      <c r="A29" s="279" t="s">
        <v>180</v>
      </c>
      <c r="B29" s="279"/>
      <c r="C29" s="279"/>
      <c r="D29" s="279"/>
      <c r="E29" s="279"/>
      <c r="F29" s="279"/>
      <c r="G29" s="279"/>
      <c r="H29" s="279"/>
      <c r="I29" s="279"/>
      <c r="J29" s="279"/>
      <c r="K29" s="279"/>
      <c r="L29" s="279"/>
      <c r="M29" s="279"/>
      <c r="N29" s="279"/>
      <c r="O29" s="279"/>
      <c r="P29" s="279"/>
      <c r="Q29" s="279"/>
    </row>
    <row r="30" spans="1:31" ht="34.5" customHeight="1" x14ac:dyDescent="0.3">
      <c r="A30" s="279"/>
      <c r="B30" s="279"/>
      <c r="C30" s="279"/>
      <c r="D30" s="279"/>
      <c r="E30" s="279"/>
      <c r="F30" s="279"/>
      <c r="G30" s="279"/>
      <c r="H30" s="279"/>
      <c r="I30" s="279"/>
      <c r="J30" s="279"/>
      <c r="K30" s="279"/>
      <c r="L30" s="279"/>
      <c r="M30" s="279"/>
      <c r="N30" s="279"/>
      <c r="O30" s="279"/>
      <c r="P30" s="279"/>
      <c r="Q30" s="279"/>
    </row>
    <row r="31" spans="1:31" ht="3.75" customHeight="1" x14ac:dyDescent="0.3">
      <c r="A31" s="1"/>
      <c r="B31" s="1"/>
      <c r="C31" s="1"/>
      <c r="D31" s="1"/>
      <c r="E31" s="1"/>
      <c r="F31" s="1"/>
      <c r="G31" s="1"/>
      <c r="H31" s="1"/>
      <c r="I31" s="19"/>
      <c r="J31" s="19"/>
      <c r="K31" s="19"/>
      <c r="L31" s="19"/>
      <c r="M31" s="19"/>
      <c r="N31" s="19"/>
      <c r="O31" s="19"/>
      <c r="P31" s="19"/>
      <c r="Q31" s="19"/>
    </row>
    <row r="32" spans="1:31" ht="54" x14ac:dyDescent="0.3">
      <c r="A32" s="61" t="s">
        <v>177</v>
      </c>
      <c r="B32" s="280" t="s">
        <v>178</v>
      </c>
      <c r="C32" s="280"/>
      <c r="D32" s="280"/>
      <c r="E32" s="280"/>
      <c r="F32" s="280"/>
      <c r="G32" s="280"/>
      <c r="H32" s="51" t="s">
        <v>179</v>
      </c>
      <c r="I32" s="19"/>
      <c r="J32" s="19"/>
      <c r="K32" s="19"/>
      <c r="L32" s="19"/>
      <c r="M32" s="19"/>
      <c r="N32" s="19"/>
      <c r="O32" s="19"/>
      <c r="P32" s="19"/>
      <c r="Q32" s="19"/>
    </row>
    <row r="33" spans="1:33" ht="84" customHeight="1" x14ac:dyDescent="0.3">
      <c r="A33" s="60" t="s">
        <v>218</v>
      </c>
      <c r="B33" s="295" t="s">
        <v>219</v>
      </c>
      <c r="C33" s="295"/>
      <c r="D33" s="295"/>
      <c r="E33" s="295"/>
      <c r="F33" s="295"/>
      <c r="G33" s="295"/>
      <c r="H33" s="126" t="s">
        <v>208</v>
      </c>
      <c r="I33" s="19"/>
      <c r="J33" s="19"/>
      <c r="K33" s="19"/>
      <c r="L33" s="19"/>
      <c r="M33" s="19"/>
      <c r="N33" s="19"/>
      <c r="O33" s="19"/>
      <c r="P33" s="19"/>
      <c r="Q33" s="19"/>
    </row>
    <row r="35" spans="1:33" x14ac:dyDescent="0.3">
      <c r="A35" s="282" t="s">
        <v>181</v>
      </c>
      <c r="B35" s="282"/>
      <c r="C35" s="282"/>
      <c r="D35" s="282"/>
      <c r="E35" s="282"/>
      <c r="F35" s="282"/>
      <c r="G35" s="282"/>
      <c r="H35" s="282"/>
      <c r="I35" s="282"/>
      <c r="J35" s="282"/>
      <c r="K35" s="282"/>
      <c r="L35" s="282"/>
      <c r="M35" s="282"/>
      <c r="N35" s="282"/>
      <c r="O35" s="282"/>
      <c r="P35" s="282"/>
      <c r="Q35" s="282"/>
    </row>
    <row r="36" spans="1:33" x14ac:dyDescent="0.3">
      <c r="A36" s="1" t="s">
        <v>220</v>
      </c>
      <c r="B36" s="1"/>
      <c r="C36" s="1"/>
    </row>
    <row r="37" spans="1:33" x14ac:dyDescent="0.3">
      <c r="A37" s="1"/>
      <c r="B37" s="1"/>
      <c r="C37" s="1"/>
      <c r="AG37" s="185">
        <f>SUM(AG5:AG22)</f>
        <v>0</v>
      </c>
    </row>
    <row r="38" spans="1:33" ht="37.5" customHeight="1" x14ac:dyDescent="0.3">
      <c r="A38" s="402" t="s">
        <v>236</v>
      </c>
      <c r="B38" s="402"/>
      <c r="C38" s="402"/>
      <c r="D38" s="402"/>
      <c r="E38" s="402"/>
      <c r="F38" s="402"/>
      <c r="G38" s="402"/>
      <c r="H38" s="402"/>
    </row>
    <row r="39" spans="1:33" ht="36" customHeight="1" x14ac:dyDescent="0.3">
      <c r="A39" s="402" t="s">
        <v>237</v>
      </c>
      <c r="B39" s="402"/>
      <c r="C39" s="402"/>
      <c r="D39" s="402"/>
      <c r="E39" s="402"/>
      <c r="F39" s="402"/>
      <c r="G39" s="402"/>
      <c r="H39" s="402"/>
    </row>
    <row r="40" spans="1:33" x14ac:dyDescent="0.3">
      <c r="A40" s="1"/>
      <c r="B40" s="1"/>
      <c r="C40" s="1"/>
    </row>
    <row r="41" spans="1:33" x14ac:dyDescent="0.3">
      <c r="A41" s="1"/>
      <c r="B41" s="1"/>
      <c r="C41" s="1"/>
    </row>
    <row r="42" spans="1:33" x14ac:dyDescent="0.3">
      <c r="A42" s="1"/>
      <c r="B42" s="1"/>
      <c r="C42" s="1"/>
    </row>
    <row r="43" spans="1:33" x14ac:dyDescent="0.3">
      <c r="A43" s="1"/>
      <c r="B43" s="1"/>
      <c r="C43" s="1"/>
    </row>
    <row r="44" spans="1:33" x14ac:dyDescent="0.3">
      <c r="A44" s="1"/>
      <c r="B44" s="1"/>
      <c r="C44" s="1"/>
    </row>
    <row r="45" spans="1:33" x14ac:dyDescent="0.3">
      <c r="A45" s="1"/>
      <c r="B45" s="1"/>
      <c r="C45" s="1"/>
    </row>
    <row r="46" spans="1:33" x14ac:dyDescent="0.3">
      <c r="A46" s="1"/>
      <c r="B46" s="1"/>
      <c r="C46" s="1"/>
    </row>
    <row r="47" spans="1:33" x14ac:dyDescent="0.3">
      <c r="A47" s="1"/>
      <c r="B47" s="1"/>
      <c r="C47" s="1"/>
    </row>
    <row r="48" spans="1:33" x14ac:dyDescent="0.3">
      <c r="A48" s="1"/>
      <c r="B48" s="1"/>
      <c r="C48" s="1"/>
    </row>
    <row r="49" spans="1:30" x14ac:dyDescent="0.3">
      <c r="A49" s="1"/>
      <c r="B49" s="1"/>
      <c r="C49" s="1"/>
    </row>
    <row r="50" spans="1:30" x14ac:dyDescent="0.3">
      <c r="A50" s="1"/>
      <c r="B50" s="1"/>
      <c r="C50" s="1"/>
    </row>
    <row r="51" spans="1:30" x14ac:dyDescent="0.3">
      <c r="A51" s="1"/>
      <c r="B51" s="1"/>
      <c r="C51" s="1"/>
    </row>
    <row r="52" spans="1:30" x14ac:dyDescent="0.3">
      <c r="A52" s="1"/>
      <c r="B52" s="1"/>
      <c r="C52" s="1"/>
    </row>
    <row r="53" spans="1:30" x14ac:dyDescent="0.3">
      <c r="A53" s="1" t="s">
        <v>221</v>
      </c>
      <c r="B53" s="1"/>
      <c r="C53" s="1"/>
    </row>
    <row r="54" spans="1:30" x14ac:dyDescent="0.3">
      <c r="A54" s="1" t="s">
        <v>222</v>
      </c>
      <c r="B54" s="1"/>
      <c r="C54" s="1"/>
    </row>
    <row r="55" spans="1:30" x14ac:dyDescent="0.3">
      <c r="A55" s="1" t="s">
        <v>223</v>
      </c>
      <c r="B55" s="1"/>
      <c r="C55" s="1"/>
    </row>
    <row r="61" spans="1:30" x14ac:dyDescent="0.3">
      <c r="E61" s="185">
        <f>SUM(E5:E22)</f>
        <v>1049871</v>
      </c>
      <c r="I61" s="185">
        <f>SUM(I5:I22)</f>
        <v>71433</v>
      </c>
      <c r="M61" s="185">
        <f>SUM(M5:M22)</f>
        <v>71433</v>
      </c>
      <c r="Q61" s="185">
        <f>SUM(Q5:Q22)</f>
        <v>32921</v>
      </c>
      <c r="U61" s="185">
        <f>SUM(U5:U22)</f>
        <v>71433</v>
      </c>
      <c r="X61" s="185">
        <f>SUM(X5:X22)</f>
        <v>0</v>
      </c>
      <c r="Y61" s="185">
        <f>SUM(Y5:Y22)</f>
        <v>44380</v>
      </c>
      <c r="AC61" s="185">
        <f>SUM(AC5:AC22)</f>
        <v>566302</v>
      </c>
    </row>
    <row r="62" spans="1:30" x14ac:dyDescent="0.3">
      <c r="E62" s="187">
        <f>+E61*8</f>
        <v>8398968</v>
      </c>
      <c r="I62" s="187">
        <f>+I61*8</f>
        <v>571464</v>
      </c>
      <c r="M62" s="187">
        <f>+M61*8</f>
        <v>571464</v>
      </c>
      <c r="Q62" s="187">
        <f>+Q61*8</f>
        <v>263368</v>
      </c>
      <c r="U62" s="187">
        <f>+U61*8</f>
        <v>571464</v>
      </c>
      <c r="Y62" s="187">
        <f>+Y61*8</f>
        <v>355040</v>
      </c>
      <c r="AC62" s="187">
        <f>+AC61*8</f>
        <v>4530416</v>
      </c>
      <c r="AD62" s="185">
        <f>SUM(E62:AC62)</f>
        <v>15262184</v>
      </c>
    </row>
    <row r="65" spans="5:30" x14ac:dyDescent="0.3">
      <c r="E65" s="187">
        <f>ROUND(E61*1.0366,0)</f>
        <v>1088296</v>
      </c>
      <c r="I65" s="187">
        <f>ROUND(I61*1.0366,0)</f>
        <v>74047</v>
      </c>
      <c r="M65" s="187">
        <f>ROUND(M61*1.0366,0)</f>
        <v>74047</v>
      </c>
      <c r="Q65" s="187">
        <f>ROUND(Q61*1.0366,0)</f>
        <v>34126</v>
      </c>
      <c r="U65" s="187">
        <f>ROUND(U61*1.0366,0)</f>
        <v>74047</v>
      </c>
      <c r="Y65" s="187">
        <f>ROUND(Y61*1.0366,0)</f>
        <v>46004</v>
      </c>
      <c r="AC65" s="187">
        <f>ROUND(AC61*1.0366,0)</f>
        <v>587029</v>
      </c>
    </row>
    <row r="66" spans="5:30" x14ac:dyDescent="0.3">
      <c r="E66" s="187">
        <f>+E65*12</f>
        <v>13059552</v>
      </c>
      <c r="I66" s="187">
        <f>+I65*12</f>
        <v>888564</v>
      </c>
      <c r="M66" s="187">
        <f>+M65*12</f>
        <v>888564</v>
      </c>
      <c r="Q66" s="187">
        <f>+Q65*12</f>
        <v>409512</v>
      </c>
      <c r="U66" s="187">
        <f>+U65*12</f>
        <v>888564</v>
      </c>
      <c r="Y66" s="187">
        <f>+Y65*12</f>
        <v>552048</v>
      </c>
      <c r="AC66" s="187">
        <f>+AC65*12</f>
        <v>7044348</v>
      </c>
      <c r="AD66" s="185">
        <f>SUM(E66:AC66)</f>
        <v>23731152</v>
      </c>
    </row>
    <row r="69" spans="5:30" x14ac:dyDescent="0.3">
      <c r="E69" s="187">
        <f>ROUND(E65*1.0366,0)</f>
        <v>1128128</v>
      </c>
      <c r="I69" s="187">
        <f>ROUND(I65*1.0366,0)</f>
        <v>76757</v>
      </c>
      <c r="M69" s="187">
        <f>ROUND(M65*1.0366,0)</f>
        <v>76757</v>
      </c>
      <c r="Q69" s="187">
        <f>ROUND(Q65*1.0366,0)</f>
        <v>35375</v>
      </c>
      <c r="U69" s="187">
        <f>ROUND(U65*1.0366,0)</f>
        <v>76757</v>
      </c>
      <c r="Y69" s="187">
        <f>ROUND(Y65*1.0366,0)</f>
        <v>47688</v>
      </c>
      <c r="AC69" s="187">
        <f>ROUND(AC65*1.0366,0)</f>
        <v>608514</v>
      </c>
    </row>
    <row r="70" spans="5:30" x14ac:dyDescent="0.3">
      <c r="E70" s="187">
        <f>+E69*4</f>
        <v>4512512</v>
      </c>
      <c r="I70" s="187">
        <f>+I69*4</f>
        <v>307028</v>
      </c>
      <c r="M70" s="187">
        <f>+M69*4</f>
        <v>307028</v>
      </c>
      <c r="Q70" s="187">
        <f>+Q69*4</f>
        <v>141500</v>
      </c>
      <c r="U70" s="187">
        <f>+U69*4</f>
        <v>307028</v>
      </c>
      <c r="Y70" s="187">
        <f>+Y69*4</f>
        <v>190752</v>
      </c>
      <c r="AC70" s="187">
        <f>+AC69*4</f>
        <v>2434056</v>
      </c>
      <c r="AD70" s="185">
        <f>SUM(E70:AC70)</f>
        <v>8199904</v>
      </c>
    </row>
    <row r="72" spans="5:30" x14ac:dyDescent="0.3">
      <c r="AD72" s="185">
        <f>SUM(AD62:AD70)</f>
        <v>47193240</v>
      </c>
    </row>
  </sheetData>
  <mergeCells count="16">
    <mergeCell ref="A38:H38"/>
    <mergeCell ref="A39:H39"/>
    <mergeCell ref="B33:G33"/>
    <mergeCell ref="A35:Q35"/>
    <mergeCell ref="V3:Y3"/>
    <mergeCell ref="Z3:AC3"/>
    <mergeCell ref="D27:P27"/>
    <mergeCell ref="Q27:AC27"/>
    <mergeCell ref="A29:Q30"/>
    <mergeCell ref="B32:G32"/>
    <mergeCell ref="A3:A4"/>
    <mergeCell ref="B3:E3"/>
    <mergeCell ref="F3:I3"/>
    <mergeCell ref="J3:M3"/>
    <mergeCell ref="N3:Q3"/>
    <mergeCell ref="R3:U3"/>
  </mergeCells>
  <pageMargins left="0.70866141732283472" right="0.70866141732283472" top="0.74803149606299213" bottom="0.74803149606299213" header="0.31496062992125984" footer="0.31496062992125984"/>
  <pageSetup scale="3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opLeftCell="A49" zoomScale="110" zoomScaleNormal="110" workbookViewId="0">
      <selection activeCell="A56" sqref="A56:H57"/>
    </sheetView>
  </sheetViews>
  <sheetFormatPr baseColWidth="10" defaultRowHeight="15" x14ac:dyDescent="0.25"/>
  <cols>
    <col min="1" max="2" width="11.42578125" style="19"/>
    <col min="3" max="3" width="15.5703125" style="19" customWidth="1"/>
    <col min="4" max="4" width="8.85546875" style="19" customWidth="1"/>
    <col min="5" max="5" width="9.85546875" style="19" customWidth="1"/>
    <col min="6" max="6" width="10.7109375" style="19" customWidth="1"/>
    <col min="7" max="8" width="11.42578125" style="19"/>
    <col min="9" max="9" width="16.5703125" style="170" customWidth="1"/>
    <col min="10" max="10" width="6.42578125" style="19" customWidth="1"/>
    <col min="11" max="12" width="11.42578125" style="19"/>
    <col min="13" max="13" width="17.42578125" style="174" customWidth="1"/>
    <col min="14" max="16" width="11.42578125" style="19"/>
    <col min="17" max="17" width="17.42578125" style="170" customWidth="1"/>
    <col min="18" max="16384" width="11.42578125" style="19"/>
  </cols>
  <sheetData>
    <row r="1" spans="1:17" ht="45.75" customHeight="1" x14ac:dyDescent="0.25">
      <c r="A1" s="310" t="s">
        <v>32</v>
      </c>
      <c r="B1" s="311"/>
      <c r="C1" s="311"/>
      <c r="D1" s="311"/>
      <c r="E1" s="312"/>
      <c r="F1" s="306" t="s">
        <v>140</v>
      </c>
      <c r="G1" s="306"/>
      <c r="H1" s="306"/>
      <c r="I1" s="306"/>
      <c r="J1" s="306" t="s">
        <v>141</v>
      </c>
      <c r="K1" s="306"/>
      <c r="L1" s="306"/>
      <c r="M1" s="306"/>
      <c r="N1" s="306" t="s">
        <v>142</v>
      </c>
      <c r="O1" s="306"/>
      <c r="P1" s="306"/>
      <c r="Q1" s="306"/>
    </row>
    <row r="2" spans="1:17" ht="39" customHeight="1" x14ac:dyDescent="0.25">
      <c r="A2" s="316" t="s">
        <v>131</v>
      </c>
      <c r="B2" s="316"/>
      <c r="C2" s="316"/>
      <c r="D2" s="25" t="s">
        <v>132</v>
      </c>
      <c r="E2" s="25" t="s">
        <v>133</v>
      </c>
      <c r="F2" s="25" t="s">
        <v>137</v>
      </c>
      <c r="G2" s="25" t="s">
        <v>138</v>
      </c>
      <c r="H2" s="25" t="s">
        <v>191</v>
      </c>
      <c r="I2" s="166" t="s">
        <v>174</v>
      </c>
      <c r="J2" s="25" t="s">
        <v>136</v>
      </c>
      <c r="K2" s="25" t="s">
        <v>139</v>
      </c>
      <c r="L2" s="25" t="s">
        <v>191</v>
      </c>
      <c r="M2" s="166" t="s">
        <v>174</v>
      </c>
      <c r="N2" s="25" t="s">
        <v>134</v>
      </c>
      <c r="O2" s="25" t="s">
        <v>139</v>
      </c>
      <c r="P2" s="25" t="s">
        <v>191</v>
      </c>
      <c r="Q2" s="167" t="s">
        <v>174</v>
      </c>
    </row>
    <row r="3" spans="1:17" x14ac:dyDescent="0.25">
      <c r="A3" s="25" t="s">
        <v>33</v>
      </c>
      <c r="B3" s="25" t="s">
        <v>34</v>
      </c>
      <c r="C3" s="25" t="s">
        <v>35</v>
      </c>
      <c r="D3" s="26"/>
      <c r="E3" s="26"/>
      <c r="F3" s="26"/>
      <c r="G3" s="25"/>
      <c r="H3" s="25"/>
      <c r="I3" s="167"/>
      <c r="J3" s="26"/>
      <c r="K3" s="25"/>
      <c r="L3" s="25"/>
      <c r="M3" s="166"/>
      <c r="N3" s="26"/>
      <c r="O3" s="25"/>
      <c r="P3" s="25"/>
      <c r="Q3" s="167"/>
    </row>
    <row r="4" spans="1:17" x14ac:dyDescent="0.25">
      <c r="A4" s="27" t="s">
        <v>36</v>
      </c>
      <c r="B4" s="27" t="s">
        <v>37</v>
      </c>
      <c r="C4" s="27" t="s">
        <v>38</v>
      </c>
      <c r="D4" s="28">
        <v>100</v>
      </c>
      <c r="E4" s="28"/>
      <c r="F4" s="28">
        <v>1</v>
      </c>
      <c r="G4" s="29">
        <v>200</v>
      </c>
      <c r="H4" s="29">
        <f>G4*0.16</f>
        <v>32</v>
      </c>
      <c r="I4" s="168">
        <f>232*D4</f>
        <v>23200</v>
      </c>
      <c r="J4" s="28">
        <v>2</v>
      </c>
      <c r="K4" s="29">
        <v>207</v>
      </c>
      <c r="L4" s="29">
        <v>33</v>
      </c>
      <c r="M4" s="172">
        <f>240*D4*2</f>
        <v>48000</v>
      </c>
      <c r="N4" s="28">
        <v>1</v>
      </c>
      <c r="O4" s="29">
        <v>215</v>
      </c>
      <c r="P4" s="29">
        <v>34</v>
      </c>
      <c r="Q4" s="168">
        <f>249*D4</f>
        <v>24900</v>
      </c>
    </row>
    <row r="5" spans="1:17" ht="60" customHeight="1" x14ac:dyDescent="0.25">
      <c r="A5" s="27" t="s">
        <v>39</v>
      </c>
      <c r="B5" s="27" t="s">
        <v>40</v>
      </c>
      <c r="C5" s="27" t="s">
        <v>41</v>
      </c>
      <c r="D5" s="28">
        <v>66.510000000000005</v>
      </c>
      <c r="E5" s="28"/>
      <c r="F5" s="28">
        <v>1</v>
      </c>
      <c r="G5" s="29">
        <v>200</v>
      </c>
      <c r="H5" s="29">
        <f>G5*0.16</f>
        <v>32</v>
      </c>
      <c r="I5" s="168">
        <f>232*D5</f>
        <v>15430.320000000002</v>
      </c>
      <c r="J5" s="28">
        <v>2</v>
      </c>
      <c r="K5" s="29">
        <v>207</v>
      </c>
      <c r="L5" s="29">
        <v>33</v>
      </c>
      <c r="M5" s="172">
        <f t="shared" ref="M5:M32" si="0">240*D5*2</f>
        <v>31924.800000000003</v>
      </c>
      <c r="N5" s="28">
        <v>1</v>
      </c>
      <c r="O5" s="29">
        <v>215</v>
      </c>
      <c r="P5" s="29">
        <v>34</v>
      </c>
      <c r="Q5" s="168">
        <f t="shared" ref="Q5:Q42" si="1">249*D5</f>
        <v>16560.990000000002</v>
      </c>
    </row>
    <row r="6" spans="1:17" ht="60" customHeight="1" x14ac:dyDescent="0.25">
      <c r="A6" s="27" t="s">
        <v>42</v>
      </c>
      <c r="B6" s="27" t="s">
        <v>43</v>
      </c>
      <c r="C6" s="27" t="s">
        <v>44</v>
      </c>
      <c r="D6" s="28">
        <v>72.31</v>
      </c>
      <c r="E6" s="28"/>
      <c r="F6" s="28">
        <v>1</v>
      </c>
      <c r="G6" s="29">
        <v>200</v>
      </c>
      <c r="H6" s="29">
        <f t="shared" ref="H6:H43" si="2">G6*0.16</f>
        <v>32</v>
      </c>
      <c r="I6" s="168">
        <f t="shared" ref="I6:I30" si="3">232*D6</f>
        <v>16775.920000000002</v>
      </c>
      <c r="J6" s="28">
        <v>2</v>
      </c>
      <c r="K6" s="29">
        <v>207</v>
      </c>
      <c r="L6" s="29">
        <v>33</v>
      </c>
      <c r="M6" s="172">
        <f t="shared" si="0"/>
        <v>34708.800000000003</v>
      </c>
      <c r="N6" s="28">
        <v>1</v>
      </c>
      <c r="O6" s="29">
        <v>215</v>
      </c>
      <c r="P6" s="29">
        <v>34</v>
      </c>
      <c r="Q6" s="168">
        <f t="shared" si="1"/>
        <v>18005.190000000002</v>
      </c>
    </row>
    <row r="7" spans="1:17" ht="72" customHeight="1" x14ac:dyDescent="0.25">
      <c r="A7" s="27" t="s">
        <v>45</v>
      </c>
      <c r="B7" s="27" t="s">
        <v>46</v>
      </c>
      <c r="C7" s="27" t="s">
        <v>47</v>
      </c>
      <c r="D7" s="28">
        <v>149.63</v>
      </c>
      <c r="E7" s="28"/>
      <c r="F7" s="28">
        <v>1</v>
      </c>
      <c r="G7" s="29">
        <v>200</v>
      </c>
      <c r="H7" s="29">
        <f t="shared" si="2"/>
        <v>32</v>
      </c>
      <c r="I7" s="168">
        <f t="shared" si="3"/>
        <v>34714.159999999996</v>
      </c>
      <c r="J7" s="28">
        <v>2</v>
      </c>
      <c r="K7" s="29">
        <v>207</v>
      </c>
      <c r="L7" s="29">
        <v>33</v>
      </c>
      <c r="M7" s="172">
        <f>240*D7*2</f>
        <v>71822.399999999994</v>
      </c>
      <c r="N7" s="28">
        <v>1</v>
      </c>
      <c r="O7" s="29">
        <v>215</v>
      </c>
      <c r="P7" s="29">
        <v>34</v>
      </c>
      <c r="Q7" s="168">
        <f t="shared" si="1"/>
        <v>37257.869999999995</v>
      </c>
    </row>
    <row r="8" spans="1:17" ht="60" customHeight="1" x14ac:dyDescent="0.25">
      <c r="A8" s="27" t="s">
        <v>48</v>
      </c>
      <c r="B8" s="27" t="s">
        <v>49</v>
      </c>
      <c r="C8" s="27" t="s">
        <v>50</v>
      </c>
      <c r="D8" s="28">
        <v>90</v>
      </c>
      <c r="E8" s="28"/>
      <c r="F8" s="28">
        <v>1</v>
      </c>
      <c r="G8" s="29">
        <v>200</v>
      </c>
      <c r="H8" s="29" t="s">
        <v>206</v>
      </c>
      <c r="I8" s="168">
        <f>G8*D8</f>
        <v>18000</v>
      </c>
      <c r="J8" s="28">
        <v>2</v>
      </c>
      <c r="K8" s="29">
        <v>207</v>
      </c>
      <c r="L8" s="29"/>
      <c r="M8" s="172">
        <f>207*D8*2</f>
        <v>37260</v>
      </c>
      <c r="N8" s="28">
        <v>1</v>
      </c>
      <c r="O8" s="29">
        <v>215</v>
      </c>
      <c r="P8" s="29"/>
      <c r="Q8" s="168">
        <f>215*D8</f>
        <v>19350</v>
      </c>
    </row>
    <row r="9" spans="1:17" ht="72" customHeight="1" x14ac:dyDescent="0.25">
      <c r="A9" s="27" t="s">
        <v>51</v>
      </c>
      <c r="B9" s="27" t="s">
        <v>52</v>
      </c>
      <c r="C9" s="27" t="s">
        <v>53</v>
      </c>
      <c r="D9" s="28">
        <v>250</v>
      </c>
      <c r="E9" s="28"/>
      <c r="F9" s="28">
        <v>1</v>
      </c>
      <c r="G9" s="29">
        <v>200</v>
      </c>
      <c r="H9" s="29">
        <f t="shared" si="2"/>
        <v>32</v>
      </c>
      <c r="I9" s="168">
        <f t="shared" si="3"/>
        <v>58000</v>
      </c>
      <c r="J9" s="28">
        <v>2</v>
      </c>
      <c r="K9" s="29">
        <v>207</v>
      </c>
      <c r="L9" s="29">
        <v>33</v>
      </c>
      <c r="M9" s="172">
        <f t="shared" si="0"/>
        <v>120000</v>
      </c>
      <c r="N9" s="28">
        <v>1</v>
      </c>
      <c r="O9" s="29">
        <v>215</v>
      </c>
      <c r="P9" s="29">
        <v>34</v>
      </c>
      <c r="Q9" s="168">
        <f t="shared" si="1"/>
        <v>62250</v>
      </c>
    </row>
    <row r="10" spans="1:17" ht="72" customHeight="1" x14ac:dyDescent="0.25">
      <c r="A10" s="27" t="s">
        <v>54</v>
      </c>
      <c r="B10" s="27" t="s">
        <v>55</v>
      </c>
      <c r="C10" s="27" t="s">
        <v>56</v>
      </c>
      <c r="D10" s="28">
        <v>100</v>
      </c>
      <c r="E10" s="28"/>
      <c r="F10" s="28">
        <v>1</v>
      </c>
      <c r="G10" s="29">
        <v>200</v>
      </c>
      <c r="H10" s="29">
        <f t="shared" si="2"/>
        <v>32</v>
      </c>
      <c r="I10" s="168">
        <f t="shared" si="3"/>
        <v>23200</v>
      </c>
      <c r="J10" s="28">
        <v>2</v>
      </c>
      <c r="K10" s="29">
        <v>207</v>
      </c>
      <c r="L10" s="29">
        <v>33</v>
      </c>
      <c r="M10" s="172">
        <f t="shared" si="0"/>
        <v>48000</v>
      </c>
      <c r="N10" s="28">
        <v>1</v>
      </c>
      <c r="O10" s="29">
        <v>215</v>
      </c>
      <c r="P10" s="29">
        <v>34</v>
      </c>
      <c r="Q10" s="168">
        <f t="shared" si="1"/>
        <v>24900</v>
      </c>
    </row>
    <row r="11" spans="1:17" ht="60" customHeight="1" x14ac:dyDescent="0.25">
      <c r="A11" s="27" t="s">
        <v>57</v>
      </c>
      <c r="B11" s="27" t="s">
        <v>58</v>
      </c>
      <c r="C11" s="27" t="s">
        <v>59</v>
      </c>
      <c r="D11" s="28">
        <v>64.19</v>
      </c>
      <c r="E11" s="28"/>
      <c r="F11" s="28">
        <v>1</v>
      </c>
      <c r="G11" s="29">
        <v>200</v>
      </c>
      <c r="H11" s="29">
        <f t="shared" si="2"/>
        <v>32</v>
      </c>
      <c r="I11" s="168">
        <f t="shared" si="3"/>
        <v>14892.08</v>
      </c>
      <c r="J11" s="28">
        <v>2</v>
      </c>
      <c r="K11" s="29">
        <v>207</v>
      </c>
      <c r="L11" s="29">
        <v>33</v>
      </c>
      <c r="M11" s="172">
        <f t="shared" si="0"/>
        <v>30811.199999999997</v>
      </c>
      <c r="N11" s="28">
        <v>1</v>
      </c>
      <c r="O11" s="29">
        <v>215</v>
      </c>
      <c r="P11" s="29">
        <v>34</v>
      </c>
      <c r="Q11" s="168">
        <f t="shared" si="1"/>
        <v>15983.31</v>
      </c>
    </row>
    <row r="12" spans="1:17" ht="60" customHeight="1" x14ac:dyDescent="0.25">
      <c r="A12" s="27" t="s">
        <v>60</v>
      </c>
      <c r="B12" s="27" t="s">
        <v>61</v>
      </c>
      <c r="C12" s="27" t="s">
        <v>62</v>
      </c>
      <c r="D12" s="28">
        <v>85.09</v>
      </c>
      <c r="E12" s="28"/>
      <c r="F12" s="28">
        <v>1</v>
      </c>
      <c r="G12" s="29">
        <v>200</v>
      </c>
      <c r="H12" s="29">
        <f t="shared" si="2"/>
        <v>32</v>
      </c>
      <c r="I12" s="168">
        <f t="shared" si="3"/>
        <v>19740.88</v>
      </c>
      <c r="J12" s="28">
        <v>2</v>
      </c>
      <c r="K12" s="29">
        <v>207</v>
      </c>
      <c r="L12" s="29">
        <v>33</v>
      </c>
      <c r="M12" s="172">
        <f t="shared" si="0"/>
        <v>40843.200000000004</v>
      </c>
      <c r="N12" s="28">
        <v>1</v>
      </c>
      <c r="O12" s="29">
        <v>215</v>
      </c>
      <c r="P12" s="29">
        <v>34</v>
      </c>
      <c r="Q12" s="168">
        <f t="shared" si="1"/>
        <v>21187.41</v>
      </c>
    </row>
    <row r="13" spans="1:17" ht="24" customHeight="1" x14ac:dyDescent="0.25">
      <c r="A13" s="27" t="s">
        <v>63</v>
      </c>
      <c r="B13" s="27" t="s">
        <v>64</v>
      </c>
      <c r="C13" s="27" t="s">
        <v>65</v>
      </c>
      <c r="D13" s="28">
        <v>100</v>
      </c>
      <c r="E13" s="28"/>
      <c r="F13" s="28">
        <v>1</v>
      </c>
      <c r="G13" s="29">
        <v>200</v>
      </c>
      <c r="H13" s="29">
        <f t="shared" si="2"/>
        <v>32</v>
      </c>
      <c r="I13" s="168">
        <f t="shared" si="3"/>
        <v>23200</v>
      </c>
      <c r="J13" s="28">
        <v>2</v>
      </c>
      <c r="K13" s="29">
        <v>207</v>
      </c>
      <c r="L13" s="29">
        <v>33</v>
      </c>
      <c r="M13" s="172">
        <f t="shared" si="0"/>
        <v>48000</v>
      </c>
      <c r="N13" s="28">
        <v>1</v>
      </c>
      <c r="O13" s="29">
        <v>215</v>
      </c>
      <c r="P13" s="29">
        <v>34</v>
      </c>
      <c r="Q13" s="168">
        <f t="shared" si="1"/>
        <v>24900</v>
      </c>
    </row>
    <row r="14" spans="1:17" ht="66" customHeight="1" x14ac:dyDescent="0.25">
      <c r="A14" s="27" t="s">
        <v>66</v>
      </c>
      <c r="B14" s="27" t="s">
        <v>67</v>
      </c>
      <c r="C14" s="27" t="s">
        <v>68</v>
      </c>
      <c r="D14" s="28">
        <v>74.92</v>
      </c>
      <c r="E14" s="28"/>
      <c r="F14" s="28">
        <v>1</v>
      </c>
      <c r="G14" s="29">
        <v>200</v>
      </c>
      <c r="H14" s="29">
        <f t="shared" si="2"/>
        <v>32</v>
      </c>
      <c r="I14" s="168">
        <f t="shared" si="3"/>
        <v>17381.439999999999</v>
      </c>
      <c r="J14" s="28">
        <v>2</v>
      </c>
      <c r="K14" s="29">
        <v>207</v>
      </c>
      <c r="L14" s="29">
        <v>33</v>
      </c>
      <c r="M14" s="172">
        <f t="shared" si="0"/>
        <v>35961.599999999999</v>
      </c>
      <c r="N14" s="28">
        <v>1</v>
      </c>
      <c r="O14" s="29">
        <v>215</v>
      </c>
      <c r="P14" s="29">
        <v>34</v>
      </c>
      <c r="Q14" s="168">
        <f t="shared" si="1"/>
        <v>18655.080000000002</v>
      </c>
    </row>
    <row r="15" spans="1:17" ht="84" x14ac:dyDescent="0.25">
      <c r="A15" s="27" t="s">
        <v>69</v>
      </c>
      <c r="B15" s="27" t="s">
        <v>70</v>
      </c>
      <c r="C15" s="27" t="s">
        <v>71</v>
      </c>
      <c r="D15" s="28">
        <v>100</v>
      </c>
      <c r="E15" s="28"/>
      <c r="F15" s="28">
        <v>1</v>
      </c>
      <c r="G15" s="29">
        <v>200</v>
      </c>
      <c r="H15" s="29"/>
      <c r="I15" s="168">
        <f>200*D15</f>
        <v>20000</v>
      </c>
      <c r="J15" s="28">
        <v>2</v>
      </c>
      <c r="K15" s="29">
        <v>207</v>
      </c>
      <c r="L15" s="29"/>
      <c r="M15" s="172">
        <f>207*D15*2</f>
        <v>41400</v>
      </c>
      <c r="N15" s="28">
        <v>1</v>
      </c>
      <c r="O15" s="29">
        <v>215</v>
      </c>
      <c r="P15" s="29"/>
      <c r="Q15" s="168">
        <f>215*D15</f>
        <v>21500</v>
      </c>
    </row>
    <row r="16" spans="1:17" ht="36" customHeight="1" x14ac:dyDescent="0.25">
      <c r="A16" s="27" t="s">
        <v>72</v>
      </c>
      <c r="B16" s="27" t="s">
        <v>73</v>
      </c>
      <c r="C16" s="27" t="s">
        <v>74</v>
      </c>
      <c r="D16" s="28">
        <v>165.45</v>
      </c>
      <c r="E16" s="28"/>
      <c r="F16" s="28">
        <v>1</v>
      </c>
      <c r="G16" s="29">
        <v>200</v>
      </c>
      <c r="H16" s="29">
        <f t="shared" si="2"/>
        <v>32</v>
      </c>
      <c r="I16" s="168">
        <f t="shared" si="3"/>
        <v>38384.399999999994</v>
      </c>
      <c r="J16" s="28">
        <v>2</v>
      </c>
      <c r="K16" s="29">
        <v>207</v>
      </c>
      <c r="L16" s="29">
        <v>33</v>
      </c>
      <c r="M16" s="172">
        <f t="shared" si="0"/>
        <v>79416</v>
      </c>
      <c r="N16" s="28">
        <v>1</v>
      </c>
      <c r="O16" s="29">
        <v>215</v>
      </c>
      <c r="P16" s="29">
        <v>34</v>
      </c>
      <c r="Q16" s="168">
        <f t="shared" si="1"/>
        <v>41197.049999999996</v>
      </c>
    </row>
    <row r="17" spans="1:17" ht="60" customHeight="1" x14ac:dyDescent="0.25">
      <c r="A17" s="27" t="s">
        <v>72</v>
      </c>
      <c r="B17" s="27" t="s">
        <v>75</v>
      </c>
      <c r="C17" s="27" t="s">
        <v>76</v>
      </c>
      <c r="D17" s="28" t="s">
        <v>77</v>
      </c>
      <c r="E17" s="28"/>
      <c r="F17" s="28">
        <v>1</v>
      </c>
      <c r="G17" s="29">
        <v>200</v>
      </c>
      <c r="H17" s="29">
        <f t="shared" si="2"/>
        <v>32</v>
      </c>
      <c r="I17" s="168">
        <f>232*33.62</f>
        <v>7799.8399999999992</v>
      </c>
      <c r="J17" s="28">
        <v>2</v>
      </c>
      <c r="K17" s="29">
        <v>207</v>
      </c>
      <c r="L17" s="29">
        <v>33</v>
      </c>
      <c r="M17" s="172">
        <f>240*33.62*2</f>
        <v>16137.599999999999</v>
      </c>
      <c r="N17" s="28">
        <v>1</v>
      </c>
      <c r="O17" s="29">
        <v>215</v>
      </c>
      <c r="P17" s="29">
        <v>34</v>
      </c>
      <c r="Q17" s="168">
        <f>249*33.62</f>
        <v>8371.3799999999992</v>
      </c>
    </row>
    <row r="18" spans="1:17" ht="48" x14ac:dyDescent="0.25">
      <c r="A18" s="27" t="s">
        <v>78</v>
      </c>
      <c r="B18" s="27" t="s">
        <v>79</v>
      </c>
      <c r="C18" s="27" t="s">
        <v>80</v>
      </c>
      <c r="D18" s="28">
        <v>109.63</v>
      </c>
      <c r="E18" s="28"/>
      <c r="F18" s="28">
        <v>1</v>
      </c>
      <c r="G18" s="29">
        <v>200</v>
      </c>
      <c r="H18" s="29">
        <f t="shared" si="2"/>
        <v>32</v>
      </c>
      <c r="I18" s="168">
        <f t="shared" si="3"/>
        <v>25434.16</v>
      </c>
      <c r="J18" s="28">
        <v>2</v>
      </c>
      <c r="K18" s="29">
        <v>207</v>
      </c>
      <c r="L18" s="29">
        <v>33</v>
      </c>
      <c r="M18" s="172">
        <f t="shared" si="0"/>
        <v>52622.399999999994</v>
      </c>
      <c r="N18" s="28">
        <v>1</v>
      </c>
      <c r="O18" s="29">
        <v>215</v>
      </c>
      <c r="P18" s="29">
        <v>34</v>
      </c>
      <c r="Q18" s="168">
        <f t="shared" si="1"/>
        <v>27297.87</v>
      </c>
    </row>
    <row r="19" spans="1:17" ht="24" x14ac:dyDescent="0.25">
      <c r="A19" s="27" t="s">
        <v>81</v>
      </c>
      <c r="B19" s="27" t="s">
        <v>82</v>
      </c>
      <c r="C19" s="27" t="s">
        <v>83</v>
      </c>
      <c r="D19" s="28">
        <v>472.02</v>
      </c>
      <c r="E19" s="28">
        <v>139.32</v>
      </c>
      <c r="F19" s="28">
        <v>1</v>
      </c>
      <c r="G19" s="29">
        <v>200</v>
      </c>
      <c r="H19" s="29">
        <f t="shared" si="2"/>
        <v>32</v>
      </c>
      <c r="I19" s="168">
        <f>232*(D19+E19)</f>
        <v>141830.87999999998</v>
      </c>
      <c r="J19" s="28">
        <v>2</v>
      </c>
      <c r="K19" s="29">
        <v>207</v>
      </c>
      <c r="L19" s="29">
        <v>33</v>
      </c>
      <c r="M19" s="172">
        <f>240*(D19+E19)*2</f>
        <v>293443.19999999995</v>
      </c>
      <c r="N19" s="28">
        <v>1</v>
      </c>
      <c r="O19" s="29">
        <v>215</v>
      </c>
      <c r="P19" s="29">
        <v>34</v>
      </c>
      <c r="Q19" s="168">
        <f>249*(D19+E19)</f>
        <v>152223.65999999997</v>
      </c>
    </row>
    <row r="20" spans="1:17" ht="48" customHeight="1" x14ac:dyDescent="0.25">
      <c r="A20" s="27" t="s">
        <v>72</v>
      </c>
      <c r="B20" s="27" t="s">
        <v>84</v>
      </c>
      <c r="C20" s="27" t="s">
        <v>85</v>
      </c>
      <c r="D20" s="28">
        <v>123.56</v>
      </c>
      <c r="E20" s="28"/>
      <c r="F20" s="28">
        <v>1</v>
      </c>
      <c r="G20" s="29">
        <v>200</v>
      </c>
      <c r="H20" s="29">
        <f t="shared" si="2"/>
        <v>32</v>
      </c>
      <c r="I20" s="168">
        <f t="shared" si="3"/>
        <v>28665.920000000002</v>
      </c>
      <c r="J20" s="28">
        <v>2</v>
      </c>
      <c r="K20" s="29">
        <v>207</v>
      </c>
      <c r="L20" s="29">
        <v>33</v>
      </c>
      <c r="M20" s="172">
        <f t="shared" si="0"/>
        <v>59308.800000000003</v>
      </c>
      <c r="N20" s="28">
        <v>1</v>
      </c>
      <c r="O20" s="29">
        <v>215</v>
      </c>
      <c r="P20" s="29">
        <v>34</v>
      </c>
      <c r="Q20" s="168">
        <f t="shared" si="1"/>
        <v>30766.440000000002</v>
      </c>
    </row>
    <row r="21" spans="1:17" ht="60" customHeight="1" x14ac:dyDescent="0.25">
      <c r="A21" s="27" t="s">
        <v>86</v>
      </c>
      <c r="B21" s="27" t="s">
        <v>87</v>
      </c>
      <c r="C21" s="27" t="s">
        <v>88</v>
      </c>
      <c r="D21" s="28">
        <v>100</v>
      </c>
      <c r="E21" s="28"/>
      <c r="F21" s="28">
        <v>1</v>
      </c>
      <c r="G21" s="29">
        <v>200</v>
      </c>
      <c r="H21" s="29">
        <f t="shared" si="2"/>
        <v>32</v>
      </c>
      <c r="I21" s="168">
        <f t="shared" si="3"/>
        <v>23200</v>
      </c>
      <c r="J21" s="28">
        <v>2</v>
      </c>
      <c r="K21" s="29">
        <v>207</v>
      </c>
      <c r="L21" s="29">
        <v>33</v>
      </c>
      <c r="M21" s="172">
        <f t="shared" si="0"/>
        <v>48000</v>
      </c>
      <c r="N21" s="28">
        <v>1</v>
      </c>
      <c r="O21" s="29">
        <v>215</v>
      </c>
      <c r="P21" s="29">
        <v>34</v>
      </c>
      <c r="Q21" s="168">
        <f t="shared" si="1"/>
        <v>24900</v>
      </c>
    </row>
    <row r="22" spans="1:17" ht="36" customHeight="1" x14ac:dyDescent="0.25">
      <c r="A22" s="27" t="s">
        <v>89</v>
      </c>
      <c r="B22" s="27" t="s">
        <v>90</v>
      </c>
      <c r="C22" s="27" t="s">
        <v>91</v>
      </c>
      <c r="D22" s="28">
        <v>345.73</v>
      </c>
      <c r="E22" s="28"/>
      <c r="F22" s="28">
        <v>1</v>
      </c>
      <c r="G22" s="29">
        <v>200</v>
      </c>
      <c r="H22" s="29">
        <f t="shared" si="2"/>
        <v>32</v>
      </c>
      <c r="I22" s="168">
        <f t="shared" si="3"/>
        <v>80209.36</v>
      </c>
      <c r="J22" s="28">
        <v>2</v>
      </c>
      <c r="K22" s="29">
        <v>207</v>
      </c>
      <c r="L22" s="29">
        <v>33</v>
      </c>
      <c r="M22" s="172">
        <f t="shared" si="0"/>
        <v>165950.40000000002</v>
      </c>
      <c r="N22" s="28">
        <v>1</v>
      </c>
      <c r="O22" s="29">
        <v>215</v>
      </c>
      <c r="P22" s="29">
        <v>34</v>
      </c>
      <c r="Q22" s="168">
        <f t="shared" si="1"/>
        <v>86086.77</v>
      </c>
    </row>
    <row r="23" spans="1:17" ht="72" customHeight="1" x14ac:dyDescent="0.25">
      <c r="A23" s="27" t="s">
        <v>92</v>
      </c>
      <c r="B23" s="27" t="s">
        <v>93</v>
      </c>
      <c r="C23" s="27" t="s">
        <v>94</v>
      </c>
      <c r="D23" s="28">
        <v>106.5</v>
      </c>
      <c r="E23" s="28"/>
      <c r="F23" s="28">
        <v>1</v>
      </c>
      <c r="G23" s="29">
        <v>200</v>
      </c>
      <c r="H23" s="29">
        <f t="shared" si="2"/>
        <v>32</v>
      </c>
      <c r="I23" s="168">
        <f t="shared" si="3"/>
        <v>24708</v>
      </c>
      <c r="J23" s="28">
        <v>2</v>
      </c>
      <c r="K23" s="29">
        <v>207</v>
      </c>
      <c r="L23" s="29">
        <v>33</v>
      </c>
      <c r="M23" s="172">
        <f t="shared" si="0"/>
        <v>51120</v>
      </c>
      <c r="N23" s="28">
        <v>1</v>
      </c>
      <c r="O23" s="29">
        <v>215</v>
      </c>
      <c r="P23" s="29">
        <v>34</v>
      </c>
      <c r="Q23" s="168">
        <f t="shared" si="1"/>
        <v>26518.5</v>
      </c>
    </row>
    <row r="24" spans="1:17" ht="24" x14ac:dyDescent="0.25">
      <c r="A24" s="27" t="s">
        <v>95</v>
      </c>
      <c r="B24" s="27" t="s">
        <v>96</v>
      </c>
      <c r="C24" s="27" t="s">
        <v>97</v>
      </c>
      <c r="D24" s="28">
        <v>275.43</v>
      </c>
      <c r="E24" s="28"/>
      <c r="F24" s="28">
        <v>1</v>
      </c>
      <c r="G24" s="29">
        <v>200</v>
      </c>
      <c r="H24" s="29">
        <f t="shared" si="2"/>
        <v>32</v>
      </c>
      <c r="I24" s="168">
        <f t="shared" si="3"/>
        <v>63899.76</v>
      </c>
      <c r="J24" s="28">
        <v>2</v>
      </c>
      <c r="K24" s="29">
        <v>207</v>
      </c>
      <c r="L24" s="29">
        <v>33</v>
      </c>
      <c r="M24" s="172">
        <f t="shared" si="0"/>
        <v>132206.39999999999</v>
      </c>
      <c r="N24" s="28">
        <v>1</v>
      </c>
      <c r="O24" s="29">
        <v>215</v>
      </c>
      <c r="P24" s="29">
        <v>34</v>
      </c>
      <c r="Q24" s="168">
        <f t="shared" si="1"/>
        <v>68582.070000000007</v>
      </c>
    </row>
    <row r="25" spans="1:17" ht="36" customHeight="1" x14ac:dyDescent="0.25">
      <c r="A25" s="27" t="s">
        <v>98</v>
      </c>
      <c r="B25" s="27" t="s">
        <v>99</v>
      </c>
      <c r="C25" s="27" t="s">
        <v>100</v>
      </c>
      <c r="D25" s="28">
        <v>100</v>
      </c>
      <c r="E25" s="28"/>
      <c r="F25" s="28">
        <v>1</v>
      </c>
      <c r="G25" s="29">
        <v>200</v>
      </c>
      <c r="H25" s="29">
        <f t="shared" si="2"/>
        <v>32</v>
      </c>
      <c r="I25" s="168">
        <f t="shared" si="3"/>
        <v>23200</v>
      </c>
      <c r="J25" s="28">
        <v>2</v>
      </c>
      <c r="K25" s="29">
        <v>207</v>
      </c>
      <c r="L25" s="29">
        <v>33</v>
      </c>
      <c r="M25" s="172">
        <f t="shared" si="0"/>
        <v>48000</v>
      </c>
      <c r="N25" s="28">
        <v>1</v>
      </c>
      <c r="O25" s="29">
        <v>215</v>
      </c>
      <c r="P25" s="29">
        <v>34</v>
      </c>
      <c r="Q25" s="168">
        <f t="shared" si="1"/>
        <v>24900</v>
      </c>
    </row>
    <row r="26" spans="1:17" ht="57" customHeight="1" x14ac:dyDescent="0.25">
      <c r="A26" s="27" t="s">
        <v>101</v>
      </c>
      <c r="B26" s="27" t="s">
        <v>102</v>
      </c>
      <c r="C26" s="27" t="s">
        <v>103</v>
      </c>
      <c r="D26" s="28">
        <v>110.2</v>
      </c>
      <c r="E26" s="28"/>
      <c r="F26" s="28">
        <v>1</v>
      </c>
      <c r="G26" s="29">
        <v>200</v>
      </c>
      <c r="H26" s="29">
        <f t="shared" si="2"/>
        <v>32</v>
      </c>
      <c r="I26" s="168">
        <f t="shared" si="3"/>
        <v>25566.400000000001</v>
      </c>
      <c r="J26" s="28">
        <v>2</v>
      </c>
      <c r="K26" s="29">
        <v>207</v>
      </c>
      <c r="L26" s="29">
        <v>33</v>
      </c>
      <c r="M26" s="172">
        <f t="shared" si="0"/>
        <v>52896</v>
      </c>
      <c r="N26" s="28">
        <v>1</v>
      </c>
      <c r="O26" s="29">
        <v>215</v>
      </c>
      <c r="P26" s="29">
        <v>34</v>
      </c>
      <c r="Q26" s="168">
        <f t="shared" si="1"/>
        <v>27439.8</v>
      </c>
    </row>
    <row r="27" spans="1:17" ht="60" customHeight="1" x14ac:dyDescent="0.25">
      <c r="A27" s="27" t="s">
        <v>104</v>
      </c>
      <c r="B27" s="27" t="s">
        <v>105</v>
      </c>
      <c r="C27" s="27" t="s">
        <v>106</v>
      </c>
      <c r="D27" s="28">
        <v>270.63</v>
      </c>
      <c r="E27" s="28"/>
      <c r="F27" s="28">
        <v>1</v>
      </c>
      <c r="G27" s="29">
        <v>200</v>
      </c>
      <c r="H27" s="29">
        <f t="shared" si="2"/>
        <v>32</v>
      </c>
      <c r="I27" s="168">
        <f t="shared" si="3"/>
        <v>62786.159999999996</v>
      </c>
      <c r="J27" s="28">
        <v>2</v>
      </c>
      <c r="K27" s="29">
        <v>207</v>
      </c>
      <c r="L27" s="29">
        <v>33</v>
      </c>
      <c r="M27" s="172">
        <f t="shared" si="0"/>
        <v>129902.39999999999</v>
      </c>
      <c r="N27" s="28">
        <v>1</v>
      </c>
      <c r="O27" s="29">
        <v>215</v>
      </c>
      <c r="P27" s="29">
        <v>34</v>
      </c>
      <c r="Q27" s="168">
        <f t="shared" si="1"/>
        <v>67386.87</v>
      </c>
    </row>
    <row r="28" spans="1:17" ht="60" customHeight="1" x14ac:dyDescent="0.25">
      <c r="A28" s="27" t="s">
        <v>107</v>
      </c>
      <c r="B28" s="27" t="s">
        <v>108</v>
      </c>
      <c r="C28" s="27" t="s">
        <v>109</v>
      </c>
      <c r="D28" s="28">
        <v>157.72999999999999</v>
      </c>
      <c r="E28" s="28"/>
      <c r="F28" s="28">
        <v>1</v>
      </c>
      <c r="G28" s="29">
        <v>200</v>
      </c>
      <c r="H28" s="29">
        <f t="shared" si="2"/>
        <v>32</v>
      </c>
      <c r="I28" s="168">
        <f t="shared" si="3"/>
        <v>36593.360000000001</v>
      </c>
      <c r="J28" s="28">
        <v>2</v>
      </c>
      <c r="K28" s="29">
        <v>207</v>
      </c>
      <c r="L28" s="29">
        <v>33</v>
      </c>
      <c r="M28" s="172">
        <f t="shared" si="0"/>
        <v>75710.399999999994</v>
      </c>
      <c r="N28" s="28">
        <v>1</v>
      </c>
      <c r="O28" s="29">
        <v>215</v>
      </c>
      <c r="P28" s="29">
        <v>34</v>
      </c>
      <c r="Q28" s="168">
        <f t="shared" si="1"/>
        <v>39274.769999999997</v>
      </c>
    </row>
    <row r="29" spans="1:17" ht="48" customHeight="1" x14ac:dyDescent="0.25">
      <c r="A29" s="27" t="s">
        <v>110</v>
      </c>
      <c r="B29" s="27" t="s">
        <v>111</v>
      </c>
      <c r="C29" s="27" t="s">
        <v>112</v>
      </c>
      <c r="D29" s="28">
        <v>92.37</v>
      </c>
      <c r="E29" s="28"/>
      <c r="F29" s="28">
        <v>1</v>
      </c>
      <c r="G29" s="29">
        <v>200</v>
      </c>
      <c r="H29" s="29">
        <f t="shared" si="2"/>
        <v>32</v>
      </c>
      <c r="I29" s="168">
        <f t="shared" si="3"/>
        <v>21429.84</v>
      </c>
      <c r="J29" s="28">
        <v>2</v>
      </c>
      <c r="K29" s="29">
        <v>207</v>
      </c>
      <c r="L29" s="29">
        <v>33</v>
      </c>
      <c r="M29" s="172">
        <f t="shared" si="0"/>
        <v>44337.600000000006</v>
      </c>
      <c r="N29" s="28">
        <v>1</v>
      </c>
      <c r="O29" s="29">
        <v>215</v>
      </c>
      <c r="P29" s="29">
        <v>34</v>
      </c>
      <c r="Q29" s="168">
        <f t="shared" si="1"/>
        <v>23000.13</v>
      </c>
    </row>
    <row r="30" spans="1:17" ht="76.5" customHeight="1" x14ac:dyDescent="0.25">
      <c r="A30" s="27" t="s">
        <v>113</v>
      </c>
      <c r="B30" s="27" t="s">
        <v>114</v>
      </c>
      <c r="C30" s="27" t="s">
        <v>115</v>
      </c>
      <c r="D30" s="28">
        <v>18</v>
      </c>
      <c r="E30" s="28"/>
      <c r="F30" s="28">
        <v>1</v>
      </c>
      <c r="G30" s="29">
        <v>200</v>
      </c>
      <c r="H30" s="29">
        <f t="shared" si="2"/>
        <v>32</v>
      </c>
      <c r="I30" s="168">
        <f t="shared" si="3"/>
        <v>4176</v>
      </c>
      <c r="J30" s="28">
        <v>2</v>
      </c>
      <c r="K30" s="29">
        <v>207</v>
      </c>
      <c r="L30" s="29">
        <v>33</v>
      </c>
      <c r="M30" s="172">
        <f t="shared" si="0"/>
        <v>8640</v>
      </c>
      <c r="N30" s="28">
        <v>1</v>
      </c>
      <c r="O30" s="29">
        <v>215</v>
      </c>
      <c r="P30" s="29">
        <v>34</v>
      </c>
      <c r="Q30" s="168">
        <f t="shared" si="1"/>
        <v>4482</v>
      </c>
    </row>
    <row r="31" spans="1:17" x14ac:dyDescent="0.25">
      <c r="A31" s="317" t="s">
        <v>116</v>
      </c>
      <c r="B31" s="317" t="s">
        <v>117</v>
      </c>
      <c r="C31" s="27" t="s">
        <v>118</v>
      </c>
      <c r="D31" s="30">
        <v>468.1</v>
      </c>
      <c r="E31" s="28"/>
      <c r="F31" s="313">
        <v>1</v>
      </c>
      <c r="G31" s="29">
        <v>200</v>
      </c>
      <c r="H31" s="29">
        <f t="shared" si="2"/>
        <v>32</v>
      </c>
      <c r="I31" s="168">
        <f>232*D31</f>
        <v>108599.20000000001</v>
      </c>
      <c r="J31" s="313">
        <v>2</v>
      </c>
      <c r="K31" s="29">
        <v>207</v>
      </c>
      <c r="L31" s="29">
        <v>33</v>
      </c>
      <c r="M31" s="172">
        <f t="shared" si="0"/>
        <v>224688</v>
      </c>
      <c r="N31" s="28">
        <v>1</v>
      </c>
      <c r="O31" s="29">
        <v>215</v>
      </c>
      <c r="P31" s="29">
        <v>34</v>
      </c>
      <c r="Q31" s="168">
        <f t="shared" si="1"/>
        <v>116556.90000000001</v>
      </c>
    </row>
    <row r="32" spans="1:17" ht="24" x14ac:dyDescent="0.25">
      <c r="A32" s="317"/>
      <c r="B32" s="317"/>
      <c r="C32" s="27" t="s">
        <v>119</v>
      </c>
      <c r="D32" s="30">
        <v>1472.59</v>
      </c>
      <c r="E32" s="28"/>
      <c r="F32" s="314"/>
      <c r="G32" s="29">
        <v>200</v>
      </c>
      <c r="H32" s="29">
        <f t="shared" si="2"/>
        <v>32</v>
      </c>
      <c r="I32" s="168">
        <f>232*D32</f>
        <v>341640.88</v>
      </c>
      <c r="J32" s="314"/>
      <c r="K32" s="29">
        <v>207</v>
      </c>
      <c r="L32" s="29">
        <v>33</v>
      </c>
      <c r="M32" s="172">
        <f t="shared" si="0"/>
        <v>706843.2</v>
      </c>
      <c r="N32" s="28">
        <v>1</v>
      </c>
      <c r="O32" s="29">
        <v>215</v>
      </c>
      <c r="P32" s="29">
        <v>34</v>
      </c>
      <c r="Q32" s="168">
        <f t="shared" si="1"/>
        <v>366674.91</v>
      </c>
    </row>
    <row r="33" spans="1:17" x14ac:dyDescent="0.25">
      <c r="A33" s="317"/>
      <c r="B33" s="317"/>
      <c r="C33" s="27" t="s">
        <v>120</v>
      </c>
      <c r="D33" s="30"/>
      <c r="E33" s="28">
        <v>675.82</v>
      </c>
      <c r="F33" s="314"/>
      <c r="G33" s="29">
        <v>200</v>
      </c>
      <c r="H33" s="29">
        <f t="shared" si="2"/>
        <v>32</v>
      </c>
      <c r="I33" s="168">
        <f>232*E33</f>
        <v>156790.24000000002</v>
      </c>
      <c r="J33" s="314"/>
      <c r="K33" s="29">
        <v>207</v>
      </c>
      <c r="L33" s="29">
        <v>33</v>
      </c>
      <c r="M33" s="172">
        <f>240*E33*2</f>
        <v>324393.60000000003</v>
      </c>
      <c r="N33" s="28">
        <v>1</v>
      </c>
      <c r="O33" s="29">
        <v>215</v>
      </c>
      <c r="P33" s="29">
        <v>34</v>
      </c>
      <c r="Q33" s="168">
        <f>249*E33</f>
        <v>168279.18000000002</v>
      </c>
    </row>
    <row r="34" spans="1:17" x14ac:dyDescent="0.25">
      <c r="A34" s="317"/>
      <c r="B34" s="317"/>
      <c r="C34" s="27" t="s">
        <v>121</v>
      </c>
      <c r="D34" s="30">
        <v>211.02</v>
      </c>
      <c r="E34" s="28"/>
      <c r="F34" s="314"/>
      <c r="G34" s="29">
        <v>200</v>
      </c>
      <c r="H34" s="29">
        <f t="shared" si="2"/>
        <v>32</v>
      </c>
      <c r="I34" s="168">
        <f>232*D34</f>
        <v>48956.639999999999</v>
      </c>
      <c r="J34" s="314"/>
      <c r="K34" s="29">
        <v>207</v>
      </c>
      <c r="L34" s="29">
        <v>33</v>
      </c>
      <c r="M34" s="172">
        <f>240*D34*2</f>
        <v>101289.60000000001</v>
      </c>
      <c r="N34" s="28">
        <v>1</v>
      </c>
      <c r="O34" s="29">
        <v>215</v>
      </c>
      <c r="P34" s="29">
        <v>34</v>
      </c>
      <c r="Q34" s="168">
        <f t="shared" si="1"/>
        <v>52543.98</v>
      </c>
    </row>
    <row r="35" spans="1:17" x14ac:dyDescent="0.25">
      <c r="A35" s="317"/>
      <c r="B35" s="317"/>
      <c r="C35" s="27" t="s">
        <v>122</v>
      </c>
      <c r="D35" s="30">
        <v>573.64</v>
      </c>
      <c r="E35" s="28"/>
      <c r="F35" s="314"/>
      <c r="G35" s="29">
        <v>200</v>
      </c>
      <c r="H35" s="29">
        <f t="shared" si="2"/>
        <v>32</v>
      </c>
      <c r="I35" s="168">
        <f t="shared" ref="I35:I42" si="4">232*D35</f>
        <v>133084.48000000001</v>
      </c>
      <c r="J35" s="314"/>
      <c r="K35" s="29">
        <v>207</v>
      </c>
      <c r="L35" s="29">
        <v>33</v>
      </c>
      <c r="M35" s="172">
        <f t="shared" ref="M35:M42" si="5">240*D35*2</f>
        <v>275347.20000000001</v>
      </c>
      <c r="N35" s="28">
        <v>1</v>
      </c>
      <c r="O35" s="29">
        <v>215</v>
      </c>
      <c r="P35" s="29">
        <v>34</v>
      </c>
      <c r="Q35" s="168">
        <f t="shared" si="1"/>
        <v>142836.35999999999</v>
      </c>
    </row>
    <row r="36" spans="1:17" x14ac:dyDescent="0.25">
      <c r="A36" s="317"/>
      <c r="B36" s="317"/>
      <c r="C36" s="27" t="s">
        <v>123</v>
      </c>
      <c r="D36" s="30">
        <v>549.02</v>
      </c>
      <c r="E36" s="28"/>
      <c r="F36" s="314"/>
      <c r="G36" s="29">
        <v>200</v>
      </c>
      <c r="H36" s="29">
        <f t="shared" si="2"/>
        <v>32</v>
      </c>
      <c r="I36" s="168">
        <f t="shared" si="4"/>
        <v>127372.64</v>
      </c>
      <c r="J36" s="314"/>
      <c r="K36" s="29">
        <v>207</v>
      </c>
      <c r="L36" s="29">
        <v>33</v>
      </c>
      <c r="M36" s="172">
        <f t="shared" si="5"/>
        <v>263529.59999999998</v>
      </c>
      <c r="N36" s="28">
        <v>1</v>
      </c>
      <c r="O36" s="29">
        <v>215</v>
      </c>
      <c r="P36" s="29">
        <v>34</v>
      </c>
      <c r="Q36" s="168">
        <f t="shared" si="1"/>
        <v>136705.97999999998</v>
      </c>
    </row>
    <row r="37" spans="1:17" x14ac:dyDescent="0.25">
      <c r="A37" s="317"/>
      <c r="B37" s="317"/>
      <c r="C37" s="27" t="s">
        <v>124</v>
      </c>
      <c r="D37" s="30">
        <v>549.02</v>
      </c>
      <c r="E37" s="28"/>
      <c r="F37" s="314"/>
      <c r="G37" s="29">
        <v>200</v>
      </c>
      <c r="H37" s="29">
        <f t="shared" si="2"/>
        <v>32</v>
      </c>
      <c r="I37" s="168">
        <f t="shared" si="4"/>
        <v>127372.64</v>
      </c>
      <c r="J37" s="314"/>
      <c r="K37" s="29">
        <v>207</v>
      </c>
      <c r="L37" s="29">
        <v>33</v>
      </c>
      <c r="M37" s="172">
        <f t="shared" si="5"/>
        <v>263529.59999999998</v>
      </c>
      <c r="N37" s="28">
        <v>1</v>
      </c>
      <c r="O37" s="29">
        <v>215</v>
      </c>
      <c r="P37" s="29">
        <v>34</v>
      </c>
      <c r="Q37" s="168">
        <f t="shared" si="1"/>
        <v>136705.97999999998</v>
      </c>
    </row>
    <row r="38" spans="1:17" x14ac:dyDescent="0.25">
      <c r="A38" s="317"/>
      <c r="B38" s="317"/>
      <c r="C38" s="27" t="s">
        <v>125</v>
      </c>
      <c r="D38" s="30">
        <v>549.02</v>
      </c>
      <c r="E38" s="28"/>
      <c r="F38" s="314"/>
      <c r="G38" s="29">
        <v>200</v>
      </c>
      <c r="H38" s="29">
        <f t="shared" si="2"/>
        <v>32</v>
      </c>
      <c r="I38" s="168">
        <f t="shared" si="4"/>
        <v>127372.64</v>
      </c>
      <c r="J38" s="314"/>
      <c r="K38" s="29">
        <v>207</v>
      </c>
      <c r="L38" s="29">
        <v>33</v>
      </c>
      <c r="M38" s="172">
        <f t="shared" si="5"/>
        <v>263529.59999999998</v>
      </c>
      <c r="N38" s="28">
        <v>1</v>
      </c>
      <c r="O38" s="29">
        <v>215</v>
      </c>
      <c r="P38" s="29">
        <v>34</v>
      </c>
      <c r="Q38" s="168">
        <f t="shared" si="1"/>
        <v>136705.97999999998</v>
      </c>
    </row>
    <row r="39" spans="1:17" x14ac:dyDescent="0.25">
      <c r="A39" s="317"/>
      <c r="B39" s="317"/>
      <c r="C39" s="27" t="s">
        <v>126</v>
      </c>
      <c r="D39" s="30">
        <v>549.02</v>
      </c>
      <c r="E39" s="28"/>
      <c r="F39" s="314"/>
      <c r="G39" s="29">
        <v>200</v>
      </c>
      <c r="H39" s="29">
        <f t="shared" si="2"/>
        <v>32</v>
      </c>
      <c r="I39" s="168">
        <f t="shared" si="4"/>
        <v>127372.64</v>
      </c>
      <c r="J39" s="314"/>
      <c r="K39" s="29">
        <v>207</v>
      </c>
      <c r="L39" s="29">
        <v>33</v>
      </c>
      <c r="M39" s="172">
        <f t="shared" si="5"/>
        <v>263529.59999999998</v>
      </c>
      <c r="N39" s="28">
        <v>1</v>
      </c>
      <c r="O39" s="29">
        <v>215</v>
      </c>
      <c r="P39" s="29">
        <v>34</v>
      </c>
      <c r="Q39" s="168">
        <f t="shared" si="1"/>
        <v>136705.97999999998</v>
      </c>
    </row>
    <row r="40" spans="1:17" x14ac:dyDescent="0.25">
      <c r="A40" s="317"/>
      <c r="B40" s="317"/>
      <c r="C40" s="27" t="s">
        <v>127</v>
      </c>
      <c r="D40" s="30">
        <v>549.02</v>
      </c>
      <c r="E40" s="28"/>
      <c r="F40" s="314"/>
      <c r="G40" s="29">
        <v>200</v>
      </c>
      <c r="H40" s="29">
        <f t="shared" si="2"/>
        <v>32</v>
      </c>
      <c r="I40" s="168">
        <f t="shared" si="4"/>
        <v>127372.64</v>
      </c>
      <c r="J40" s="314"/>
      <c r="K40" s="29">
        <v>207</v>
      </c>
      <c r="L40" s="29">
        <v>33</v>
      </c>
      <c r="M40" s="172">
        <f t="shared" si="5"/>
        <v>263529.59999999998</v>
      </c>
      <c r="N40" s="28">
        <v>1</v>
      </c>
      <c r="O40" s="29">
        <v>215</v>
      </c>
      <c r="P40" s="29">
        <v>34</v>
      </c>
      <c r="Q40" s="168">
        <f t="shared" si="1"/>
        <v>136705.97999999998</v>
      </c>
    </row>
    <row r="41" spans="1:17" x14ac:dyDescent="0.25">
      <c r="A41" s="317"/>
      <c r="B41" s="317"/>
      <c r="C41" s="27" t="s">
        <v>128</v>
      </c>
      <c r="D41" s="30">
        <v>549.02</v>
      </c>
      <c r="E41" s="28"/>
      <c r="F41" s="314"/>
      <c r="G41" s="29">
        <v>200</v>
      </c>
      <c r="H41" s="29">
        <f t="shared" si="2"/>
        <v>32</v>
      </c>
      <c r="I41" s="168">
        <f t="shared" si="4"/>
        <v>127372.64</v>
      </c>
      <c r="J41" s="314"/>
      <c r="K41" s="29">
        <v>207</v>
      </c>
      <c r="L41" s="29">
        <v>33</v>
      </c>
      <c r="M41" s="172">
        <f t="shared" si="5"/>
        <v>263529.59999999998</v>
      </c>
      <c r="N41" s="28">
        <v>1</v>
      </c>
      <c r="O41" s="29">
        <v>215</v>
      </c>
      <c r="P41" s="29">
        <v>34</v>
      </c>
      <c r="Q41" s="168">
        <f t="shared" si="1"/>
        <v>136705.97999999998</v>
      </c>
    </row>
    <row r="42" spans="1:17" ht="24" x14ac:dyDescent="0.25">
      <c r="A42" s="317"/>
      <c r="B42" s="317"/>
      <c r="C42" s="27" t="s">
        <v>129</v>
      </c>
      <c r="D42" s="30">
        <v>292.3</v>
      </c>
      <c r="E42" s="28"/>
      <c r="F42" s="314"/>
      <c r="G42" s="29">
        <v>200</v>
      </c>
      <c r="H42" s="29">
        <f t="shared" si="2"/>
        <v>32</v>
      </c>
      <c r="I42" s="168">
        <f t="shared" si="4"/>
        <v>67813.600000000006</v>
      </c>
      <c r="J42" s="314"/>
      <c r="K42" s="29">
        <v>207</v>
      </c>
      <c r="L42" s="29">
        <v>33</v>
      </c>
      <c r="M42" s="172">
        <f t="shared" si="5"/>
        <v>140304</v>
      </c>
      <c r="N42" s="28">
        <v>1</v>
      </c>
      <c r="O42" s="29">
        <v>215</v>
      </c>
      <c r="P42" s="29">
        <v>34</v>
      </c>
      <c r="Q42" s="168">
        <f t="shared" si="1"/>
        <v>72782.7</v>
      </c>
    </row>
    <row r="43" spans="1:17" x14ac:dyDescent="0.25">
      <c r="A43" s="317"/>
      <c r="B43" s="317"/>
      <c r="C43" s="27" t="s">
        <v>130</v>
      </c>
      <c r="D43" s="28"/>
      <c r="E43" s="30">
        <v>256.72000000000003</v>
      </c>
      <c r="F43" s="315"/>
      <c r="G43" s="29">
        <v>200</v>
      </c>
      <c r="H43" s="29">
        <f t="shared" si="2"/>
        <v>32</v>
      </c>
      <c r="I43" s="168">
        <f>232*E43</f>
        <v>59559.040000000008</v>
      </c>
      <c r="J43" s="315"/>
      <c r="K43" s="29">
        <v>207</v>
      </c>
      <c r="L43" s="29">
        <v>33</v>
      </c>
      <c r="M43" s="172">
        <f>240*E43*2</f>
        <v>123225.60000000001</v>
      </c>
      <c r="N43" s="28">
        <v>1</v>
      </c>
      <c r="O43" s="29">
        <v>215</v>
      </c>
      <c r="P43" s="29">
        <v>34</v>
      </c>
      <c r="Q43" s="168">
        <f>249*E43</f>
        <v>63923.280000000006</v>
      </c>
    </row>
    <row r="44" spans="1:17" ht="72.75" customHeight="1" x14ac:dyDescent="0.25">
      <c r="A44" s="32"/>
      <c r="B44" s="33"/>
      <c r="C44" s="33"/>
      <c r="D44" s="34"/>
      <c r="E44" s="34"/>
      <c r="F44" s="35"/>
      <c r="G44" s="304" t="s">
        <v>30</v>
      </c>
      <c r="H44" s="304"/>
      <c r="I44" s="169">
        <f ca="1">SUM(I4:I44)</f>
        <v>2573098.7999999998</v>
      </c>
      <c r="J44" s="36"/>
      <c r="K44" s="304" t="s">
        <v>135</v>
      </c>
      <c r="L44" s="304"/>
      <c r="M44" s="173">
        <f>SUM(M4:M43)</f>
        <v>5323691.9999999981</v>
      </c>
      <c r="N44" s="36"/>
      <c r="O44" s="304" t="s">
        <v>143</v>
      </c>
      <c r="P44" s="304"/>
      <c r="Q44" s="175">
        <f ca="1">SUM(Q4:Q44)</f>
        <v>2761710.3499999996</v>
      </c>
    </row>
    <row r="45" spans="1:17" ht="12.75" customHeight="1" x14ac:dyDescent="0.25">
      <c r="A45" s="21"/>
      <c r="B45" s="21"/>
      <c r="C45" s="21"/>
      <c r="D45" s="20"/>
      <c r="E45" s="20"/>
      <c r="F45" s="24"/>
      <c r="G45" s="37"/>
    </row>
    <row r="46" spans="1:17" ht="72.75" customHeight="1" x14ac:dyDescent="0.25">
      <c r="A46" s="22"/>
      <c r="B46" s="22"/>
      <c r="C46" s="22"/>
      <c r="D46" s="23"/>
      <c r="E46" s="23"/>
      <c r="F46" s="22"/>
      <c r="G46" s="307" t="s">
        <v>189</v>
      </c>
      <c r="H46" s="308"/>
      <c r="I46" s="308"/>
      <c r="J46" s="309"/>
      <c r="K46" s="318">
        <f>2573099+5323692+2761710</f>
        <v>10658501</v>
      </c>
      <c r="L46" s="319"/>
      <c r="M46" s="319"/>
      <c r="N46" s="319"/>
      <c r="O46" s="319"/>
      <c r="P46" s="319"/>
      <c r="Q46" s="320"/>
    </row>
    <row r="47" spans="1:17" ht="6.75" customHeight="1" x14ac:dyDescent="0.25">
      <c r="A47" s="22"/>
      <c r="B47" s="22"/>
      <c r="C47" s="22"/>
      <c r="D47" s="23"/>
      <c r="E47" s="23"/>
      <c r="F47" s="22"/>
      <c r="G47" s="305"/>
      <c r="H47" s="305"/>
      <c r="I47" s="171"/>
    </row>
    <row r="48" spans="1:17" ht="15" customHeight="1" x14ac:dyDescent="0.25">
      <c r="A48" s="279" t="s">
        <v>176</v>
      </c>
      <c r="B48" s="279"/>
      <c r="C48" s="279"/>
      <c r="D48" s="279"/>
      <c r="E48" s="279"/>
      <c r="F48" s="279"/>
      <c r="G48" s="279"/>
      <c r="H48" s="279"/>
      <c r="I48" s="279"/>
      <c r="J48" s="279"/>
      <c r="K48" s="279"/>
      <c r="L48" s="279"/>
      <c r="M48" s="279"/>
      <c r="N48" s="279"/>
      <c r="O48" s="279"/>
      <c r="P48" s="279"/>
      <c r="Q48" s="279"/>
    </row>
    <row r="49" spans="1:17" x14ac:dyDescent="0.25">
      <c r="A49" s="279"/>
      <c r="B49" s="279"/>
      <c r="C49" s="279"/>
      <c r="D49" s="279"/>
      <c r="E49" s="279"/>
      <c r="F49" s="279"/>
      <c r="G49" s="279"/>
      <c r="H49" s="279"/>
      <c r="I49" s="279"/>
      <c r="J49" s="279"/>
      <c r="K49" s="279"/>
      <c r="L49" s="279"/>
      <c r="M49" s="279"/>
      <c r="N49" s="279"/>
      <c r="O49" s="279"/>
      <c r="P49" s="279"/>
      <c r="Q49" s="279"/>
    </row>
    <row r="50" spans="1:17" ht="5.25" customHeight="1" x14ac:dyDescent="0.25">
      <c r="A50" s="1"/>
      <c r="B50" s="1"/>
      <c r="C50" s="1"/>
      <c r="D50" s="1"/>
      <c r="E50" s="1"/>
      <c r="F50" s="1"/>
      <c r="G50" s="1"/>
      <c r="H50" s="1"/>
    </row>
    <row r="51" spans="1:17" ht="81" x14ac:dyDescent="0.25">
      <c r="A51" s="50" t="s">
        <v>177</v>
      </c>
      <c r="B51" s="280" t="s">
        <v>178</v>
      </c>
      <c r="C51" s="280"/>
      <c r="D51" s="280"/>
      <c r="E51" s="280"/>
      <c r="F51" s="280"/>
      <c r="G51" s="280"/>
      <c r="H51" s="51" t="s">
        <v>179</v>
      </c>
    </row>
    <row r="52" spans="1:17" x14ac:dyDescent="0.25">
      <c r="A52" s="52"/>
      <c r="B52" s="281"/>
      <c r="C52" s="281"/>
      <c r="D52" s="281"/>
      <c r="E52" s="281"/>
      <c r="F52" s="281"/>
      <c r="G52" s="281"/>
      <c r="H52" s="2"/>
    </row>
    <row r="54" spans="1:17" ht="31.5" customHeight="1" x14ac:dyDescent="0.25">
      <c r="A54" s="282" t="s">
        <v>181</v>
      </c>
      <c r="B54" s="282"/>
      <c r="C54" s="282"/>
      <c r="D54" s="282"/>
      <c r="E54" s="282"/>
      <c r="F54" s="282"/>
      <c r="G54" s="282"/>
      <c r="H54" s="282"/>
      <c r="I54" s="282"/>
      <c r="J54" s="282"/>
      <c r="K54" s="282"/>
      <c r="L54" s="282"/>
      <c r="M54" s="282"/>
      <c r="N54" s="282"/>
      <c r="O54" s="282"/>
      <c r="P54" s="282"/>
      <c r="Q54" s="282"/>
    </row>
    <row r="56" spans="1:17" ht="41.25" customHeight="1" x14ac:dyDescent="0.25">
      <c r="A56" s="402" t="s">
        <v>236</v>
      </c>
      <c r="B56" s="402"/>
      <c r="C56" s="402"/>
      <c r="D56" s="402"/>
      <c r="E56" s="402"/>
      <c r="F56" s="402"/>
      <c r="G56" s="402"/>
      <c r="H56" s="402"/>
    </row>
    <row r="57" spans="1:17" ht="38.25" customHeight="1" x14ac:dyDescent="0.25">
      <c r="A57" s="402" t="s">
        <v>237</v>
      </c>
      <c r="B57" s="402"/>
      <c r="C57" s="402"/>
      <c r="D57" s="402"/>
      <c r="E57" s="402"/>
      <c r="F57" s="402"/>
      <c r="G57" s="402"/>
      <c r="H57" s="402"/>
    </row>
  </sheetData>
  <mergeCells count="21">
    <mergeCell ref="A56:H56"/>
    <mergeCell ref="A57:H57"/>
    <mergeCell ref="A54:Q54"/>
    <mergeCell ref="K46:Q46"/>
    <mergeCell ref="B51:G51"/>
    <mergeCell ref="B52:G52"/>
    <mergeCell ref="A48:Q49"/>
    <mergeCell ref="A1:E1"/>
    <mergeCell ref="J31:J43"/>
    <mergeCell ref="F31:F43"/>
    <mergeCell ref="A2:C2"/>
    <mergeCell ref="A31:A43"/>
    <mergeCell ref="B31:B43"/>
    <mergeCell ref="G44:H44"/>
    <mergeCell ref="K44:L44"/>
    <mergeCell ref="O44:P44"/>
    <mergeCell ref="G47:H47"/>
    <mergeCell ref="F1:I1"/>
    <mergeCell ref="G46:J46"/>
    <mergeCell ref="J1:M1"/>
    <mergeCell ref="N1:Q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opLeftCell="A10" workbookViewId="0">
      <selection activeCell="B25" sqref="B25"/>
    </sheetView>
  </sheetViews>
  <sheetFormatPr baseColWidth="10" defaultRowHeight="15" x14ac:dyDescent="0.25"/>
  <cols>
    <col min="1" max="1" width="27.85546875" customWidth="1"/>
    <col min="3" max="3" width="15.140625" bestFit="1" customWidth="1"/>
    <col min="4" max="4" width="14.140625" bestFit="1" customWidth="1"/>
    <col min="5" max="5" width="12.5703125" bestFit="1" customWidth="1"/>
    <col min="7" max="7" width="16.28515625" bestFit="1" customWidth="1"/>
    <col min="8" max="8" width="15.140625" bestFit="1" customWidth="1"/>
    <col min="9" max="9" width="16.28515625" bestFit="1" customWidth="1"/>
    <col min="10" max="11" width="15.140625" bestFit="1" customWidth="1"/>
    <col min="12" max="12" width="12.7109375" bestFit="1" customWidth="1"/>
    <col min="13" max="14" width="15.140625" bestFit="1" customWidth="1"/>
  </cols>
  <sheetData>
    <row r="1" spans="1:17" ht="24.75" customHeight="1" x14ac:dyDescent="0.25">
      <c r="A1" s="324" t="s">
        <v>28</v>
      </c>
      <c r="B1" s="306" t="s">
        <v>140</v>
      </c>
      <c r="C1" s="306"/>
      <c r="D1" s="306"/>
      <c r="E1" s="306"/>
      <c r="F1" s="306" t="s">
        <v>141</v>
      </c>
      <c r="G1" s="306"/>
      <c r="H1" s="306"/>
      <c r="I1" s="306"/>
      <c r="J1" s="306" t="s">
        <v>142</v>
      </c>
      <c r="K1" s="306"/>
      <c r="L1" s="306"/>
      <c r="M1" s="306"/>
      <c r="N1" s="47"/>
    </row>
    <row r="2" spans="1:17" ht="27" x14ac:dyDescent="0.25">
      <c r="A2" s="324"/>
      <c r="B2" s="25" t="s">
        <v>137</v>
      </c>
      <c r="C2" s="25" t="s">
        <v>173</v>
      </c>
      <c r="D2" s="25" t="s">
        <v>191</v>
      </c>
      <c r="E2" s="25" t="s">
        <v>199</v>
      </c>
      <c r="F2" s="25" t="s">
        <v>136</v>
      </c>
      <c r="G2" s="25" t="s">
        <v>173</v>
      </c>
      <c r="H2" s="25" t="s">
        <v>191</v>
      </c>
      <c r="I2" s="25" t="s">
        <v>199</v>
      </c>
      <c r="J2" s="25" t="s">
        <v>136</v>
      </c>
      <c r="K2" s="25" t="s">
        <v>173</v>
      </c>
      <c r="L2" s="25" t="s">
        <v>191</v>
      </c>
      <c r="M2" s="25" t="s">
        <v>199</v>
      </c>
    </row>
    <row r="3" spans="1:17" ht="36" x14ac:dyDescent="0.25">
      <c r="A3" s="48" t="s">
        <v>172</v>
      </c>
      <c r="B3" s="208">
        <v>1</v>
      </c>
      <c r="C3" s="209">
        <v>12000000</v>
      </c>
      <c r="D3" s="178">
        <f t="shared" ref="D3" si="0">ROUND(C3*16%,0)</f>
        <v>1920000</v>
      </c>
      <c r="E3" s="178">
        <f t="shared" ref="E3" si="1">+(C3+D3)*B3</f>
        <v>13920000</v>
      </c>
      <c r="F3" s="208">
        <v>2</v>
      </c>
      <c r="G3" s="209">
        <v>12000000</v>
      </c>
      <c r="H3" s="178">
        <f t="shared" ref="H3" si="2">ROUND(G3*16%,0)</f>
        <v>1920000</v>
      </c>
      <c r="I3" s="178">
        <f t="shared" ref="I3" si="3">+(G3+H3)*F3</f>
        <v>27840000</v>
      </c>
      <c r="J3" s="208">
        <v>1</v>
      </c>
      <c r="K3" s="209">
        <v>12000000</v>
      </c>
      <c r="L3" s="178">
        <f t="shared" ref="L3" si="4">ROUND(K3*16%,0)</f>
        <v>1920000</v>
      </c>
      <c r="M3" s="178">
        <f t="shared" ref="M3" si="5">+(K3+L3)*J3</f>
        <v>13920000</v>
      </c>
    </row>
    <row r="4" spans="1:17" x14ac:dyDescent="0.25">
      <c r="A4" s="14"/>
      <c r="D4" s="58"/>
      <c r="M4" s="38"/>
    </row>
    <row r="5" spans="1:17" ht="15.75" x14ac:dyDescent="0.25">
      <c r="A5" s="293" t="s">
        <v>198</v>
      </c>
      <c r="B5" s="293"/>
      <c r="C5" s="293"/>
      <c r="D5" s="293"/>
      <c r="E5" s="293"/>
      <c r="F5" s="293"/>
      <c r="G5" s="293"/>
      <c r="H5" s="293"/>
      <c r="I5" s="293"/>
      <c r="J5" s="325">
        <f>+E3+I3+M3</f>
        <v>55680000</v>
      </c>
      <c r="K5" s="326"/>
      <c r="L5" s="326"/>
      <c r="M5" s="327"/>
    </row>
    <row r="6" spans="1:17" x14ac:dyDescent="0.25">
      <c r="A6" s="65"/>
      <c r="B6" s="31"/>
      <c r="C6" s="74"/>
      <c r="D6" s="74"/>
      <c r="E6" s="74"/>
      <c r="F6" s="31"/>
      <c r="G6" s="74"/>
      <c r="H6" s="74"/>
      <c r="I6" s="74"/>
      <c r="J6" s="31"/>
      <c r="K6" s="74"/>
      <c r="L6" s="74"/>
      <c r="M6" s="74"/>
    </row>
    <row r="7" spans="1:17" ht="22.5" customHeight="1" x14ac:dyDescent="0.25">
      <c r="A7" s="328" t="s">
        <v>224</v>
      </c>
      <c r="B7" s="329"/>
      <c r="C7" s="329"/>
      <c r="D7" s="330"/>
      <c r="E7" s="62"/>
      <c r="F7" s="62"/>
      <c r="G7" s="62"/>
      <c r="H7" s="62"/>
      <c r="I7" s="62"/>
      <c r="J7" s="62"/>
      <c r="K7" s="62"/>
      <c r="L7" s="62"/>
      <c r="M7" s="62"/>
    </row>
    <row r="8" spans="1:17" ht="36" x14ac:dyDescent="0.25">
      <c r="A8" s="210" t="s">
        <v>172</v>
      </c>
      <c r="B8" s="211">
        <v>1</v>
      </c>
      <c r="C8" s="212">
        <v>12000000</v>
      </c>
      <c r="D8" s="212">
        <f>C8*0.16</f>
        <v>1920000</v>
      </c>
      <c r="E8" s="242">
        <f>C8+D8</f>
        <v>13920000</v>
      </c>
      <c r="F8" s="213">
        <v>2</v>
      </c>
      <c r="G8" s="212">
        <f>C8*1.0366</f>
        <v>12439200</v>
      </c>
      <c r="H8" s="212">
        <f>G8*0.16</f>
        <v>1990272</v>
      </c>
      <c r="I8" s="242">
        <f>(G8+H8)*2</f>
        <v>28858944</v>
      </c>
      <c r="J8" s="213">
        <v>1</v>
      </c>
      <c r="K8" s="212">
        <f>G8*1.0366</f>
        <v>12894474.719999999</v>
      </c>
      <c r="L8" s="212">
        <f>K8*0.16</f>
        <v>2063115.9552</v>
      </c>
      <c r="M8" s="242">
        <f>K8+L8</f>
        <v>14957590.675199999</v>
      </c>
    </row>
    <row r="9" spans="1:17" ht="21.75" customHeight="1" x14ac:dyDescent="0.25">
      <c r="A9" s="214"/>
      <c r="B9" s="215"/>
      <c r="C9" s="216"/>
      <c r="D9" s="217"/>
      <c r="E9" s="216"/>
      <c r="F9" s="215"/>
      <c r="G9" s="216"/>
      <c r="H9" s="216"/>
      <c r="I9" s="216"/>
      <c r="J9" s="215"/>
      <c r="K9" s="216"/>
      <c r="L9" s="216"/>
      <c r="M9" s="218"/>
    </row>
    <row r="10" spans="1:17" ht="15" customHeight="1" x14ac:dyDescent="0.25">
      <c r="A10" s="214"/>
      <c r="B10" s="215"/>
      <c r="C10" s="216"/>
      <c r="D10" s="217"/>
      <c r="E10" s="216"/>
      <c r="F10" s="215"/>
      <c r="G10" s="216"/>
      <c r="H10" s="216"/>
      <c r="I10" s="216"/>
      <c r="J10" s="215"/>
      <c r="K10" s="216"/>
      <c r="L10" s="216"/>
      <c r="M10" s="218"/>
    </row>
    <row r="11" spans="1:17" ht="9" customHeight="1" x14ac:dyDescent="0.25">
      <c r="A11" s="214"/>
      <c r="B11" s="215"/>
      <c r="C11" s="216"/>
      <c r="D11" s="217"/>
      <c r="E11" s="216"/>
      <c r="F11" s="215"/>
      <c r="G11" s="216"/>
      <c r="H11" s="216"/>
      <c r="I11" s="216"/>
      <c r="J11" s="215"/>
      <c r="K11" s="216"/>
      <c r="L11" s="216"/>
      <c r="M11" s="218"/>
    </row>
    <row r="12" spans="1:17" ht="13.5" customHeight="1" x14ac:dyDescent="0.25">
      <c r="A12" s="219"/>
      <c r="B12" s="220"/>
      <c r="C12" s="220"/>
      <c r="D12" s="221"/>
      <c r="E12" s="220"/>
      <c r="F12" s="220"/>
      <c r="G12" s="220"/>
      <c r="H12" s="220"/>
      <c r="I12" s="220"/>
      <c r="J12" s="220"/>
      <c r="K12" s="220"/>
      <c r="L12" s="220"/>
      <c r="M12" s="222"/>
      <c r="N12" s="53"/>
      <c r="O12" s="53"/>
      <c r="P12" s="53"/>
      <c r="Q12" s="53"/>
    </row>
    <row r="13" spans="1:17" ht="13.5" customHeight="1" x14ac:dyDescent="0.25">
      <c r="A13" s="294" t="s">
        <v>198</v>
      </c>
      <c r="B13" s="294"/>
      <c r="C13" s="294"/>
      <c r="D13" s="294"/>
      <c r="E13" s="294"/>
      <c r="F13" s="294"/>
      <c r="G13" s="294"/>
      <c r="H13" s="294"/>
      <c r="I13" s="294"/>
      <c r="J13" s="321">
        <f>E8+I8+M8</f>
        <v>57736534.6752</v>
      </c>
      <c r="K13" s="322"/>
      <c r="L13" s="322"/>
      <c r="M13" s="323"/>
      <c r="N13" s="224">
        <f>J13-J5</f>
        <v>2056534.6752000004</v>
      </c>
      <c r="O13" s="19"/>
      <c r="P13" s="19"/>
      <c r="Q13" s="19"/>
    </row>
    <row r="14" spans="1:17" x14ac:dyDescent="0.25">
      <c r="A14" s="14"/>
      <c r="N14" s="19"/>
      <c r="O14" s="19"/>
      <c r="P14" s="19"/>
      <c r="Q14" s="19"/>
    </row>
    <row r="15" spans="1:17" x14ac:dyDescent="0.25">
      <c r="A15" s="279" t="s">
        <v>180</v>
      </c>
      <c r="B15" s="279"/>
      <c r="C15" s="279"/>
      <c r="D15" s="279"/>
      <c r="E15" s="279"/>
      <c r="F15" s="279"/>
      <c r="G15" s="279"/>
      <c r="H15" s="279"/>
      <c r="I15" s="279"/>
      <c r="J15" s="279"/>
      <c r="K15" s="279"/>
      <c r="L15" s="279"/>
      <c r="M15" s="279"/>
      <c r="N15" s="19"/>
      <c r="O15" s="19"/>
      <c r="P15" s="19"/>
      <c r="Q15" s="19"/>
    </row>
    <row r="16" spans="1:17" x14ac:dyDescent="0.25">
      <c r="A16" s="1"/>
      <c r="B16" s="1"/>
      <c r="C16" s="1"/>
      <c r="D16" s="1"/>
      <c r="E16" s="1"/>
      <c r="F16" s="1"/>
      <c r="G16" s="1"/>
      <c r="H16" s="1"/>
      <c r="I16" s="19"/>
      <c r="J16" s="19"/>
      <c r="K16" s="19"/>
      <c r="L16" s="19"/>
      <c r="M16" s="19"/>
    </row>
    <row r="17" spans="1:17" ht="45" customHeight="1" x14ac:dyDescent="0.25">
      <c r="A17" s="50" t="s">
        <v>177</v>
      </c>
      <c r="B17" s="280" t="s">
        <v>178</v>
      </c>
      <c r="C17" s="280"/>
      <c r="D17" s="280"/>
      <c r="E17" s="280"/>
      <c r="F17" s="280"/>
      <c r="G17" s="280"/>
      <c r="H17" s="51" t="s">
        <v>179</v>
      </c>
      <c r="I17" s="19"/>
      <c r="J17" s="19"/>
      <c r="K17" s="19"/>
      <c r="L17" s="19"/>
      <c r="M17" s="19"/>
      <c r="N17" s="55"/>
      <c r="O17" s="55"/>
      <c r="P17" s="55"/>
      <c r="Q17" s="55"/>
    </row>
    <row r="18" spans="1:17" x14ac:dyDescent="0.25">
      <c r="A18" s="52"/>
      <c r="B18" s="281"/>
      <c r="C18" s="281"/>
      <c r="D18" s="281"/>
      <c r="E18" s="281"/>
      <c r="F18" s="281"/>
      <c r="G18" s="281"/>
      <c r="H18" s="2"/>
      <c r="I18" s="19"/>
      <c r="J18" s="19"/>
      <c r="K18" s="19"/>
      <c r="L18" s="19"/>
      <c r="M18" s="19"/>
    </row>
    <row r="20" spans="1:17" x14ac:dyDescent="0.25">
      <c r="A20" s="282" t="s">
        <v>181</v>
      </c>
      <c r="B20" s="282"/>
      <c r="C20" s="282"/>
      <c r="D20" s="282"/>
      <c r="E20" s="282"/>
      <c r="F20" s="282"/>
      <c r="G20" s="282"/>
      <c r="H20" s="282"/>
      <c r="I20" s="282"/>
      <c r="J20" s="282"/>
      <c r="K20" s="282"/>
      <c r="L20" s="282"/>
      <c r="M20" s="282"/>
    </row>
    <row r="22" spans="1:17" ht="39.75" customHeight="1" x14ac:dyDescent="0.25">
      <c r="A22" s="402" t="s">
        <v>236</v>
      </c>
      <c r="B22" s="402"/>
      <c r="C22" s="402"/>
      <c r="D22" s="402"/>
      <c r="E22" s="402"/>
      <c r="F22" s="402"/>
      <c r="G22" s="402"/>
      <c r="H22" s="402"/>
      <c r="N22" s="76"/>
    </row>
    <row r="23" spans="1:17" ht="20.25" customHeight="1" x14ac:dyDescent="0.25">
      <c r="A23" s="402" t="s">
        <v>237</v>
      </c>
      <c r="B23" s="402"/>
      <c r="C23" s="402"/>
      <c r="D23" s="402"/>
      <c r="E23" s="402"/>
      <c r="F23" s="402"/>
      <c r="G23" s="402"/>
      <c r="H23" s="402"/>
      <c r="J23" s="75"/>
    </row>
    <row r="25" spans="1:17" x14ac:dyDescent="0.25">
      <c r="I25" s="75"/>
      <c r="J25" s="76"/>
      <c r="L25" s="76"/>
      <c r="M25" s="73"/>
    </row>
  </sheetData>
  <mergeCells count="15">
    <mergeCell ref="A22:H22"/>
    <mergeCell ref="A23:H23"/>
    <mergeCell ref="B17:G17"/>
    <mergeCell ref="B18:G18"/>
    <mergeCell ref="A15:M15"/>
    <mergeCell ref="A20:M20"/>
    <mergeCell ref="A13:I13"/>
    <mergeCell ref="F1:I1"/>
    <mergeCell ref="J1:M1"/>
    <mergeCell ref="J13:M13"/>
    <mergeCell ref="A1:A2"/>
    <mergeCell ref="B1:E1"/>
    <mergeCell ref="A5:I5"/>
    <mergeCell ref="J5:M5"/>
    <mergeCell ref="A7:D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tabSelected="1" topLeftCell="A20" workbookViewId="0">
      <selection activeCell="F25" sqref="F25"/>
    </sheetView>
  </sheetViews>
  <sheetFormatPr baseColWidth="10" defaultRowHeight="15" x14ac:dyDescent="0.25"/>
  <cols>
    <col min="5" max="5" width="26" customWidth="1"/>
    <col min="6" max="6" width="52.28515625" customWidth="1"/>
  </cols>
  <sheetData>
    <row r="2" spans="1:12" x14ac:dyDescent="0.25">
      <c r="A2" s="374" t="s">
        <v>200</v>
      </c>
      <c r="B2" s="375"/>
      <c r="C2" s="375"/>
      <c r="D2" s="375"/>
      <c r="E2" s="375"/>
      <c r="F2" s="376"/>
    </row>
    <row r="3" spans="1:12" x14ac:dyDescent="0.25">
      <c r="A3" s="377"/>
      <c r="B3" s="378"/>
      <c r="C3" s="378"/>
      <c r="D3" s="378"/>
      <c r="E3" s="378"/>
      <c r="F3" s="379"/>
    </row>
    <row r="4" spans="1:12" ht="18.75" x14ac:dyDescent="0.3">
      <c r="A4" s="373" t="s">
        <v>184</v>
      </c>
      <c r="B4" s="373"/>
      <c r="C4" s="373"/>
      <c r="D4" s="373"/>
      <c r="E4" s="373"/>
      <c r="F4" s="246">
        <v>517727404</v>
      </c>
      <c r="H4" s="334"/>
      <c r="I4" s="334"/>
      <c r="J4" s="334"/>
      <c r="K4" s="19"/>
      <c r="L4" s="223"/>
    </row>
    <row r="5" spans="1:12" ht="18.75" x14ac:dyDescent="0.3">
      <c r="A5" s="373" t="s">
        <v>185</v>
      </c>
      <c r="B5" s="373"/>
      <c r="C5" s="373"/>
      <c r="D5" s="373"/>
      <c r="E5" s="373"/>
      <c r="F5" s="246">
        <v>808859071</v>
      </c>
      <c r="H5" s="334"/>
      <c r="I5" s="334"/>
      <c r="J5" s="334"/>
      <c r="K5" s="19"/>
      <c r="L5" s="223"/>
    </row>
    <row r="6" spans="1:12" ht="18.75" x14ac:dyDescent="0.3">
      <c r="A6" s="373" t="s">
        <v>186</v>
      </c>
      <c r="B6" s="373"/>
      <c r="C6" s="373"/>
      <c r="D6" s="373"/>
      <c r="E6" s="373"/>
      <c r="F6" s="246">
        <v>283308911</v>
      </c>
      <c r="H6" s="334"/>
      <c r="I6" s="334"/>
      <c r="J6" s="334"/>
      <c r="K6" s="19"/>
      <c r="L6" s="223"/>
    </row>
    <row r="7" spans="1:12" ht="2.25" customHeight="1" x14ac:dyDescent="0.3">
      <c r="A7" s="243"/>
      <c r="B7" s="243"/>
      <c r="C7" s="243"/>
      <c r="D7" s="243"/>
      <c r="E7" s="243"/>
      <c r="F7" s="244"/>
    </row>
    <row r="8" spans="1:12" ht="56.25" x14ac:dyDescent="0.3">
      <c r="A8" s="380" t="s">
        <v>182</v>
      </c>
      <c r="B8" s="381"/>
      <c r="C8" s="381"/>
      <c r="D8" s="381"/>
      <c r="E8" s="382"/>
      <c r="F8" s="247" t="s">
        <v>232</v>
      </c>
    </row>
    <row r="9" spans="1:12" ht="18.75" x14ac:dyDescent="0.3">
      <c r="A9" s="373" t="s">
        <v>183</v>
      </c>
      <c r="B9" s="373"/>
      <c r="C9" s="373"/>
      <c r="D9" s="373"/>
      <c r="E9" s="373"/>
      <c r="F9" s="245">
        <f>SUM(F4:F6)</f>
        <v>1609895386</v>
      </c>
    </row>
    <row r="13" spans="1:12" ht="15.75" thickBot="1" x14ac:dyDescent="0.3">
      <c r="A13" s="226"/>
      <c r="B13" s="226"/>
      <c r="C13" s="226"/>
      <c r="D13" s="226"/>
      <c r="E13" s="360"/>
      <c r="F13" s="360"/>
      <c r="G13" s="227"/>
      <c r="H13" s="342"/>
      <c r="I13" s="342"/>
    </row>
    <row r="14" spans="1:12" x14ac:dyDescent="0.25">
      <c r="A14" s="361" t="s">
        <v>225</v>
      </c>
      <c r="B14" s="362"/>
      <c r="C14" s="362"/>
      <c r="D14" s="362"/>
      <c r="E14" s="362"/>
      <c r="F14" s="362"/>
      <c r="G14" s="362"/>
      <c r="H14" s="363"/>
      <c r="I14" s="227"/>
    </row>
    <row r="15" spans="1:12" ht="15.75" thickBot="1" x14ac:dyDescent="0.3">
      <c r="A15" s="364"/>
      <c r="B15" s="365"/>
      <c r="C15" s="365"/>
      <c r="D15" s="365"/>
      <c r="E15" s="365"/>
      <c r="F15" s="365"/>
      <c r="G15" s="365"/>
      <c r="H15" s="366"/>
      <c r="I15" s="227"/>
    </row>
    <row r="16" spans="1:12" ht="15.75" thickBot="1" x14ac:dyDescent="0.3">
      <c r="A16" s="367" t="s">
        <v>184</v>
      </c>
      <c r="B16" s="368"/>
      <c r="C16" s="368"/>
      <c r="D16" s="368"/>
      <c r="E16" s="369"/>
      <c r="F16" s="370">
        <v>-2298752</v>
      </c>
      <c r="G16" s="371"/>
      <c r="H16" s="372"/>
      <c r="I16" s="227"/>
    </row>
    <row r="17" spans="1:9" ht="15.75" thickBot="1" x14ac:dyDescent="0.3">
      <c r="A17" s="355" t="s">
        <v>185</v>
      </c>
      <c r="B17" s="356"/>
      <c r="C17" s="356"/>
      <c r="D17" s="356"/>
      <c r="E17" s="357"/>
      <c r="F17" s="331">
        <v>4935295</v>
      </c>
      <c r="G17" s="332"/>
      <c r="H17" s="333"/>
      <c r="I17" s="227"/>
    </row>
    <row r="18" spans="1:9" ht="15.75" thickBot="1" x14ac:dyDescent="0.3">
      <c r="A18" s="358" t="s">
        <v>186</v>
      </c>
      <c r="B18" s="351"/>
      <c r="C18" s="351"/>
      <c r="D18" s="351"/>
      <c r="E18" s="359"/>
      <c r="F18" s="331">
        <v>6853177</v>
      </c>
      <c r="G18" s="332"/>
      <c r="H18" s="333"/>
      <c r="I18" s="227"/>
    </row>
    <row r="19" spans="1:9" ht="15.75" thickBot="1" x14ac:dyDescent="0.3">
      <c r="A19" s="352" t="s">
        <v>182</v>
      </c>
      <c r="B19" s="353"/>
      <c r="C19" s="353"/>
      <c r="D19" s="353"/>
      <c r="E19" s="354"/>
      <c r="F19" s="338">
        <f>SUM(F16:H18)</f>
        <v>9489720</v>
      </c>
      <c r="G19" s="339"/>
      <c r="H19" s="340"/>
      <c r="I19" s="227"/>
    </row>
    <row r="20" spans="1:9" ht="30" customHeight="1" thickBot="1" x14ac:dyDescent="0.3">
      <c r="A20" s="355" t="s">
        <v>183</v>
      </c>
      <c r="B20" s="356"/>
      <c r="C20" s="356"/>
      <c r="D20" s="356"/>
      <c r="E20" s="357"/>
      <c r="F20" s="335" t="s">
        <v>231</v>
      </c>
      <c r="G20" s="336"/>
      <c r="H20" s="337"/>
      <c r="I20" s="227"/>
    </row>
    <row r="21" spans="1:9" ht="15.75" thickBot="1" x14ac:dyDescent="0.3">
      <c r="A21" s="231"/>
      <c r="B21" s="231"/>
      <c r="C21" s="231"/>
      <c r="D21" s="231"/>
      <c r="E21" s="341"/>
      <c r="F21" s="341"/>
      <c r="G21" s="227"/>
      <c r="H21" s="342"/>
      <c r="I21" s="342"/>
    </row>
    <row r="22" spans="1:9" ht="30" customHeight="1" thickBot="1" x14ac:dyDescent="0.3">
      <c r="A22" s="335" t="s">
        <v>239</v>
      </c>
      <c r="B22" s="336"/>
      <c r="C22" s="336"/>
      <c r="D22" s="336"/>
      <c r="E22" s="336"/>
      <c r="F22" s="349">
        <f>F9*0.01</f>
        <v>16098953.859999999</v>
      </c>
      <c r="G22" s="349"/>
      <c r="H22" s="350"/>
      <c r="I22" s="227"/>
    </row>
    <row r="23" spans="1:9" ht="15.75" thickBot="1" x14ac:dyDescent="0.3">
      <c r="A23" s="232"/>
      <c r="B23" s="232"/>
      <c r="C23" s="232"/>
      <c r="D23" s="232"/>
      <c r="E23" s="351"/>
      <c r="F23" s="351"/>
      <c r="G23" s="227"/>
      <c r="H23" s="342"/>
      <c r="I23" s="342"/>
    </row>
    <row r="24" spans="1:9" x14ac:dyDescent="0.25">
      <c r="A24" s="234" t="s">
        <v>226</v>
      </c>
      <c r="B24" s="235"/>
      <c r="C24" s="235"/>
      <c r="D24" s="235"/>
      <c r="E24" s="235"/>
      <c r="F24" s="236"/>
      <c r="G24" s="236"/>
      <c r="H24" s="237"/>
      <c r="I24" s="227"/>
    </row>
    <row r="25" spans="1:9" ht="15.75" thickBot="1" x14ac:dyDescent="0.3">
      <c r="A25" s="229"/>
      <c r="B25" s="233"/>
      <c r="C25" s="233"/>
      <c r="D25" s="233"/>
      <c r="E25" s="230"/>
      <c r="F25" s="230"/>
      <c r="G25" s="238"/>
      <c r="H25" s="239"/>
      <c r="I25" s="228"/>
    </row>
    <row r="26" spans="1:9" ht="30" customHeight="1" thickBot="1" x14ac:dyDescent="0.3">
      <c r="A26" s="343" t="s">
        <v>228</v>
      </c>
      <c r="B26" s="344"/>
      <c r="C26" s="344"/>
      <c r="D26" s="344"/>
      <c r="E26" s="345"/>
      <c r="F26" s="346">
        <v>515428652</v>
      </c>
      <c r="G26" s="347"/>
      <c r="H26" s="348"/>
      <c r="I26" s="227"/>
    </row>
    <row r="27" spans="1:9" ht="30" customHeight="1" thickBot="1" x14ac:dyDescent="0.3">
      <c r="A27" s="343" t="s">
        <v>229</v>
      </c>
      <c r="B27" s="344"/>
      <c r="C27" s="344"/>
      <c r="D27" s="344"/>
      <c r="E27" s="345"/>
      <c r="F27" s="331">
        <v>813794366</v>
      </c>
      <c r="G27" s="332"/>
      <c r="H27" s="333"/>
      <c r="I27" s="227"/>
    </row>
    <row r="28" spans="1:9" ht="30" customHeight="1" thickBot="1" x14ac:dyDescent="0.3">
      <c r="A28" s="343" t="s">
        <v>230</v>
      </c>
      <c r="B28" s="344"/>
      <c r="C28" s="344"/>
      <c r="D28" s="344"/>
      <c r="E28" s="345"/>
      <c r="F28" s="331">
        <v>290162088</v>
      </c>
      <c r="G28" s="332"/>
      <c r="H28" s="333"/>
      <c r="I28" s="227"/>
    </row>
    <row r="29" spans="1:9" ht="30" customHeight="1" thickBot="1" x14ac:dyDescent="0.3">
      <c r="A29" s="335" t="s">
        <v>227</v>
      </c>
      <c r="B29" s="336"/>
      <c r="C29" s="336"/>
      <c r="D29" s="336"/>
      <c r="E29" s="337"/>
      <c r="F29" s="338">
        <f>SUM(F26:H28)</f>
        <v>1619385106</v>
      </c>
      <c r="G29" s="339"/>
      <c r="H29" s="340"/>
      <c r="I29" s="227"/>
    </row>
    <row r="30" spans="1:9" ht="15.75" thickBot="1" x14ac:dyDescent="0.3">
      <c r="A30" s="226"/>
      <c r="B30" s="226"/>
      <c r="C30" s="226"/>
      <c r="D30" s="226"/>
      <c r="E30" s="341"/>
      <c r="F30" s="341"/>
      <c r="G30" s="227"/>
      <c r="H30" s="342"/>
      <c r="I30" s="342"/>
    </row>
    <row r="31" spans="1:9" ht="30" customHeight="1" thickBot="1" x14ac:dyDescent="0.3">
      <c r="A31" s="335" t="s">
        <v>238</v>
      </c>
      <c r="B31" s="336"/>
      <c r="C31" s="336"/>
      <c r="D31" s="336"/>
      <c r="E31" s="336"/>
      <c r="F31" s="336"/>
      <c r="G31" s="336"/>
      <c r="H31" s="337"/>
      <c r="I31" s="227"/>
    </row>
  </sheetData>
  <mergeCells count="39">
    <mergeCell ref="A9:E9"/>
    <mergeCell ref="A2:F3"/>
    <mergeCell ref="A4:E4"/>
    <mergeCell ref="A5:E5"/>
    <mergeCell ref="A6:E6"/>
    <mergeCell ref="A8:E8"/>
    <mergeCell ref="A17:E17"/>
    <mergeCell ref="A18:E18"/>
    <mergeCell ref="E13:F13"/>
    <mergeCell ref="H13:I13"/>
    <mergeCell ref="A14:H15"/>
    <mergeCell ref="A16:E16"/>
    <mergeCell ref="F16:H16"/>
    <mergeCell ref="A22:E22"/>
    <mergeCell ref="F22:H22"/>
    <mergeCell ref="E23:F23"/>
    <mergeCell ref="H23:I23"/>
    <mergeCell ref="A19:E19"/>
    <mergeCell ref="F19:H19"/>
    <mergeCell ref="A20:E20"/>
    <mergeCell ref="F20:H20"/>
    <mergeCell ref="E21:F21"/>
    <mergeCell ref="H21:I21"/>
    <mergeCell ref="A28:E28"/>
    <mergeCell ref="F28:H28"/>
    <mergeCell ref="A26:E26"/>
    <mergeCell ref="F26:H26"/>
    <mergeCell ref="A27:E27"/>
    <mergeCell ref="F27:H27"/>
    <mergeCell ref="A29:E29"/>
    <mergeCell ref="F29:H29"/>
    <mergeCell ref="E30:F30"/>
    <mergeCell ref="H30:I30"/>
    <mergeCell ref="A31:H31"/>
    <mergeCell ref="F18:H18"/>
    <mergeCell ref="F17:H17"/>
    <mergeCell ref="H4:J4"/>
    <mergeCell ref="H5:J5"/>
    <mergeCell ref="H6:J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Equipos y Elementos Mínimos</vt:lpstr>
      <vt:lpstr>Servicio Fumigación</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2015-04-16T23:24:53Z</dcterms:modified>
</cp:coreProperties>
</file>