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 windowWidth="14115" windowHeight="1185" firstSheet="2" activeTab="3"/>
  </bookViews>
  <sheets>
    <sheet name="Recurso Humano" sheetId="1" r:id="rId1"/>
    <sheet name="Insumos Aseo Cafetería" sheetId="2" r:id="rId2"/>
    <sheet name="Servicio Fumigación" sheetId="3" r:id="rId3"/>
    <sheet name="Equipos y Elementos Mínimos" sheetId="4" r:id="rId4"/>
    <sheet name="Lavada Vidrios" sheetId="5" r:id="rId5"/>
    <sheet name="VLR TOTAL PROPUESTA" sheetId="6" r:id="rId6"/>
  </sheets>
  <calcPr calcId="145621"/>
</workbook>
</file>

<file path=xl/calcChain.xml><?xml version="1.0" encoding="utf-8"?>
<calcChain xmlns="http://schemas.openxmlformats.org/spreadsheetml/2006/main">
  <c r="H29" i="1" l="1"/>
  <c r="H42" i="1"/>
  <c r="G3" i="5"/>
  <c r="K3" i="5" s="1"/>
  <c r="D3" i="5"/>
  <c r="E3" i="5" s="1"/>
  <c r="AC19" i="4"/>
  <c r="AC16" i="4"/>
  <c r="AC7" i="4"/>
  <c r="AC6" i="4"/>
  <c r="Y19" i="4"/>
  <c r="Y16" i="4"/>
  <c r="Y7" i="4"/>
  <c r="Y6" i="4"/>
  <c r="D20" i="4"/>
  <c r="E20" i="4" s="1"/>
  <c r="AB19" i="4"/>
  <c r="T19" i="4"/>
  <c r="U19" i="4" s="1"/>
  <c r="P19" i="4"/>
  <c r="Q19" i="4" s="1"/>
  <c r="L19" i="4"/>
  <c r="M19" i="4" s="1"/>
  <c r="H19" i="4"/>
  <c r="I19" i="4" s="1"/>
  <c r="D19" i="4"/>
  <c r="E19" i="4" s="1"/>
  <c r="D18" i="4"/>
  <c r="E18" i="4" s="1"/>
  <c r="D17" i="4"/>
  <c r="E17" i="4" s="1"/>
  <c r="AB16" i="4"/>
  <c r="T16" i="4"/>
  <c r="U16" i="4" s="1"/>
  <c r="P16" i="4"/>
  <c r="Q16" i="4" s="1"/>
  <c r="L16" i="4"/>
  <c r="M16" i="4" s="1"/>
  <c r="H16" i="4"/>
  <c r="I16" i="4" s="1"/>
  <c r="D16" i="4"/>
  <c r="E16" i="4" s="1"/>
  <c r="D15" i="4"/>
  <c r="E15" i="4" s="1"/>
  <c r="D14" i="4"/>
  <c r="E14" i="4" s="1"/>
  <c r="D13" i="4"/>
  <c r="E13" i="4" s="1"/>
  <c r="D12" i="4"/>
  <c r="E12" i="4" s="1"/>
  <c r="D11" i="4"/>
  <c r="E11" i="4" s="1"/>
  <c r="U10" i="4"/>
  <c r="T10" i="4"/>
  <c r="L10" i="4"/>
  <c r="M10" i="4" s="1"/>
  <c r="H10" i="4"/>
  <c r="I10" i="4" s="1"/>
  <c r="D10" i="4"/>
  <c r="E10" i="4" s="1"/>
  <c r="T9" i="4"/>
  <c r="U9" i="4" s="1"/>
  <c r="P9" i="4"/>
  <c r="Q9" i="4" s="1"/>
  <c r="L9" i="4"/>
  <c r="M9" i="4" s="1"/>
  <c r="H9" i="4"/>
  <c r="I9" i="4" s="1"/>
  <c r="D9" i="4"/>
  <c r="E9" i="4" s="1"/>
  <c r="H8" i="4"/>
  <c r="I8" i="4" s="1"/>
  <c r="D8" i="4"/>
  <c r="E8" i="4" s="1"/>
  <c r="AB7" i="4"/>
  <c r="Y21" i="4"/>
  <c r="T7" i="4"/>
  <c r="U7" i="4" s="1"/>
  <c r="P7" i="4"/>
  <c r="Q7" i="4" s="1"/>
  <c r="L7" i="4"/>
  <c r="M7" i="4" s="1"/>
  <c r="H7" i="4"/>
  <c r="I7" i="4" s="1"/>
  <c r="D7" i="4"/>
  <c r="E7" i="4" s="1"/>
  <c r="AB6" i="4"/>
  <c r="T6" i="4"/>
  <c r="U6" i="4" s="1"/>
  <c r="P6" i="4"/>
  <c r="Q6" i="4" s="1"/>
  <c r="L6" i="4"/>
  <c r="M6" i="4" s="1"/>
  <c r="H6" i="4"/>
  <c r="I6" i="4" s="1"/>
  <c r="D6" i="4"/>
  <c r="E6" i="4" s="1"/>
  <c r="D5" i="4"/>
  <c r="E5" i="4" s="1"/>
  <c r="D4" i="4"/>
  <c r="E4" i="4" s="1"/>
  <c r="D3" i="4"/>
  <c r="E3" i="4" s="1"/>
  <c r="K43" i="3"/>
  <c r="L43" i="3" s="1"/>
  <c r="M43" i="3" s="1"/>
  <c r="H43" i="3"/>
  <c r="I43" i="3" s="1"/>
  <c r="K42" i="3"/>
  <c r="L42" i="3" s="1"/>
  <c r="M42" i="3" s="1"/>
  <c r="H42" i="3"/>
  <c r="I42" i="3" s="1"/>
  <c r="K41" i="3"/>
  <c r="L41" i="3" s="1"/>
  <c r="M41" i="3" s="1"/>
  <c r="H41" i="3"/>
  <c r="I41" i="3" s="1"/>
  <c r="K40" i="3"/>
  <c r="L40" i="3" s="1"/>
  <c r="M40" i="3" s="1"/>
  <c r="H40" i="3"/>
  <c r="I40" i="3" s="1"/>
  <c r="K39" i="3"/>
  <c r="L39" i="3" s="1"/>
  <c r="M39" i="3" s="1"/>
  <c r="H39" i="3"/>
  <c r="I39" i="3" s="1"/>
  <c r="K38" i="3"/>
  <c r="L38" i="3" s="1"/>
  <c r="M38" i="3" s="1"/>
  <c r="H38" i="3"/>
  <c r="I38" i="3" s="1"/>
  <c r="K37" i="3"/>
  <c r="L37" i="3" s="1"/>
  <c r="M37" i="3" s="1"/>
  <c r="H37" i="3"/>
  <c r="I37" i="3" s="1"/>
  <c r="K36" i="3"/>
  <c r="L36" i="3" s="1"/>
  <c r="M36" i="3" s="1"/>
  <c r="H36" i="3"/>
  <c r="I36" i="3" s="1"/>
  <c r="K35" i="3"/>
  <c r="L35" i="3" s="1"/>
  <c r="M35" i="3" s="1"/>
  <c r="I35" i="3"/>
  <c r="H35" i="3"/>
  <c r="K34" i="3"/>
  <c r="L34" i="3" s="1"/>
  <c r="M34" i="3" s="1"/>
  <c r="H34" i="3"/>
  <c r="I34" i="3" s="1"/>
  <c r="K33" i="3"/>
  <c r="L33" i="3" s="1"/>
  <c r="H33" i="3"/>
  <c r="I33" i="3" s="1"/>
  <c r="K32" i="3"/>
  <c r="L32" i="3" s="1"/>
  <c r="M32" i="3" s="1"/>
  <c r="H32" i="3"/>
  <c r="I32" i="3" s="1"/>
  <c r="K31" i="3"/>
  <c r="L31" i="3" s="1"/>
  <c r="M31" i="3" s="1"/>
  <c r="H31" i="3"/>
  <c r="I31" i="3" s="1"/>
  <c r="K30" i="3"/>
  <c r="L30" i="3" s="1"/>
  <c r="M30" i="3" s="1"/>
  <c r="H30" i="3"/>
  <c r="I30" i="3" s="1"/>
  <c r="O29" i="3"/>
  <c r="K29" i="3"/>
  <c r="L29" i="3" s="1"/>
  <c r="H29" i="3"/>
  <c r="I29" i="3" s="1"/>
  <c r="O28" i="3"/>
  <c r="K28" i="3"/>
  <c r="L28" i="3" s="1"/>
  <c r="M28" i="3" s="1"/>
  <c r="H28" i="3"/>
  <c r="I28" i="3" s="1"/>
  <c r="K27" i="3"/>
  <c r="L27" i="3" s="1"/>
  <c r="M27" i="3" s="1"/>
  <c r="I27" i="3"/>
  <c r="H27" i="3"/>
  <c r="K26" i="3"/>
  <c r="L26" i="3" s="1"/>
  <c r="M26" i="3" s="1"/>
  <c r="H26" i="3"/>
  <c r="I26" i="3" s="1"/>
  <c r="K25" i="3"/>
  <c r="L25" i="3" s="1"/>
  <c r="H25" i="3"/>
  <c r="I25" i="3" s="1"/>
  <c r="K24" i="3"/>
  <c r="L24" i="3" s="1"/>
  <c r="M24" i="3" s="1"/>
  <c r="H24" i="3"/>
  <c r="I24" i="3" s="1"/>
  <c r="K23" i="3"/>
  <c r="L23" i="3" s="1"/>
  <c r="M23" i="3" s="1"/>
  <c r="H23" i="3"/>
  <c r="I23" i="3" s="1"/>
  <c r="K22" i="3"/>
  <c r="L22" i="3" s="1"/>
  <c r="M22" i="3" s="1"/>
  <c r="H22" i="3"/>
  <c r="I22" i="3" s="1"/>
  <c r="K21" i="3"/>
  <c r="L21" i="3" s="1"/>
  <c r="H21" i="3"/>
  <c r="I21" i="3" s="1"/>
  <c r="K20" i="3"/>
  <c r="L20" i="3" s="1"/>
  <c r="M20" i="3" s="1"/>
  <c r="H20" i="3"/>
  <c r="I20" i="3" s="1"/>
  <c r="K19" i="3"/>
  <c r="L19" i="3" s="1"/>
  <c r="M19" i="3" s="1"/>
  <c r="H19" i="3"/>
  <c r="I19" i="3" s="1"/>
  <c r="K18" i="3"/>
  <c r="L18" i="3" s="1"/>
  <c r="M18" i="3" s="1"/>
  <c r="H18" i="3"/>
  <c r="I18" i="3" s="1"/>
  <c r="K17" i="3"/>
  <c r="L17" i="3" s="1"/>
  <c r="H17" i="3"/>
  <c r="I17" i="3" s="1"/>
  <c r="K16" i="3"/>
  <c r="L16" i="3" s="1"/>
  <c r="M16" i="3" s="1"/>
  <c r="H16" i="3"/>
  <c r="I16" i="3" s="1"/>
  <c r="K15" i="3"/>
  <c r="O15" i="3" s="1"/>
  <c r="Q15" i="3" s="1"/>
  <c r="I15" i="3"/>
  <c r="K14" i="3"/>
  <c r="H14" i="3"/>
  <c r="I14" i="3" s="1"/>
  <c r="K13" i="3"/>
  <c r="H13" i="3"/>
  <c r="I13" i="3" s="1"/>
  <c r="K12" i="3"/>
  <c r="H12" i="3"/>
  <c r="I12" i="3" s="1"/>
  <c r="K11" i="3"/>
  <c r="O11" i="3" s="1"/>
  <c r="H11" i="3"/>
  <c r="I11" i="3" s="1"/>
  <c r="K10" i="3"/>
  <c r="I10" i="3"/>
  <c r="H10" i="3"/>
  <c r="K9" i="3"/>
  <c r="O9" i="3" s="1"/>
  <c r="H9" i="3"/>
  <c r="I9" i="3" s="1"/>
  <c r="K8" i="3"/>
  <c r="O8" i="3" s="1"/>
  <c r="I8" i="3"/>
  <c r="K7" i="3"/>
  <c r="O7" i="3" s="1"/>
  <c r="H7" i="3"/>
  <c r="I7" i="3" s="1"/>
  <c r="K6" i="3"/>
  <c r="O6" i="3" s="1"/>
  <c r="H6" i="3"/>
  <c r="I6" i="3" s="1"/>
  <c r="K5" i="3"/>
  <c r="H5" i="3"/>
  <c r="I5" i="3" s="1"/>
  <c r="K4" i="3"/>
  <c r="O4" i="3" s="1"/>
  <c r="P4" i="3" s="1"/>
  <c r="H4" i="3"/>
  <c r="I4" i="3" s="1"/>
  <c r="C6" i="2"/>
  <c r="L3" i="5" l="1"/>
  <c r="M3" i="5" s="1"/>
  <c r="H3" i="5"/>
  <c r="I3" i="5" s="1"/>
  <c r="U21" i="4"/>
  <c r="U22" i="4" s="1"/>
  <c r="U23" i="4" s="1"/>
  <c r="I21" i="4"/>
  <c r="I22" i="4" s="1"/>
  <c r="I23" i="4" s="1"/>
  <c r="Y22" i="4"/>
  <c r="Y23" i="4" s="1"/>
  <c r="M21" i="4"/>
  <c r="E21" i="4"/>
  <c r="AC21" i="4"/>
  <c r="Q21" i="4"/>
  <c r="O41" i="3"/>
  <c r="O37" i="3"/>
  <c r="O31" i="3"/>
  <c r="O30" i="3"/>
  <c r="Q30" i="3" s="1"/>
  <c r="M29" i="3"/>
  <c r="O23" i="3"/>
  <c r="Q23" i="3" s="1"/>
  <c r="O22" i="3"/>
  <c r="P22" i="3" s="1"/>
  <c r="Q22" i="3" s="1"/>
  <c r="O21" i="3"/>
  <c r="M21" i="3"/>
  <c r="O43" i="3"/>
  <c r="O42" i="3"/>
  <c r="P42" i="3" s="1"/>
  <c r="Q42" i="3" s="1"/>
  <c r="O40" i="3"/>
  <c r="P40" i="3" s="1"/>
  <c r="Q40" i="3" s="1"/>
  <c r="O39" i="3"/>
  <c r="P39" i="3" s="1"/>
  <c r="Q39" i="3" s="1"/>
  <c r="O38" i="3"/>
  <c r="O36" i="3"/>
  <c r="P36" i="3" s="1"/>
  <c r="Q36" i="3" s="1"/>
  <c r="O35" i="3"/>
  <c r="O34" i="3"/>
  <c r="M33" i="3"/>
  <c r="O33" i="3"/>
  <c r="P33" i="3" s="1"/>
  <c r="Q33" i="3" s="1"/>
  <c r="O32" i="3"/>
  <c r="O27" i="3"/>
  <c r="O26" i="3"/>
  <c r="M25" i="3"/>
  <c r="O25" i="3"/>
  <c r="O24" i="3"/>
  <c r="O20" i="3"/>
  <c r="P20" i="3" s="1"/>
  <c r="Q20" i="3" s="1"/>
  <c r="O19" i="3"/>
  <c r="P19" i="3" s="1"/>
  <c r="Q19" i="3" s="1"/>
  <c r="O18" i="3"/>
  <c r="P18" i="3" s="1"/>
  <c r="Q18" i="3" s="1"/>
  <c r="M17" i="3"/>
  <c r="O17" i="3"/>
  <c r="P17" i="3" s="1"/>
  <c r="Q17" i="3" s="1"/>
  <c r="O16" i="3"/>
  <c r="P16" i="3" s="1"/>
  <c r="Q16" i="3" s="1"/>
  <c r="L7" i="3"/>
  <c r="M7" i="3" s="1"/>
  <c r="P6" i="3"/>
  <c r="Q6" i="3" s="1"/>
  <c r="P9" i="3"/>
  <c r="Q9" i="3" s="1"/>
  <c r="L12" i="3"/>
  <c r="M12" i="3" s="1"/>
  <c r="L6" i="3"/>
  <c r="M6" i="3" s="1"/>
  <c r="L13" i="3"/>
  <c r="M13" i="3" s="1"/>
  <c r="Q4" i="3"/>
  <c r="L5" i="3"/>
  <c r="M5" i="3" s="1"/>
  <c r="P7" i="3"/>
  <c r="Q7" i="3" s="1"/>
  <c r="Q8" i="3"/>
  <c r="L10" i="3"/>
  <c r="M10" i="3" s="1"/>
  <c r="O13" i="3"/>
  <c r="L14" i="3"/>
  <c r="M14" i="3" s="1"/>
  <c r="P26" i="3"/>
  <c r="Q26" i="3" s="1"/>
  <c r="P30" i="3"/>
  <c r="P34" i="3"/>
  <c r="Q34" i="3" s="1"/>
  <c r="L4" i="3"/>
  <c r="M4" i="3" s="1"/>
  <c r="O5" i="3"/>
  <c r="M8" i="3"/>
  <c r="O10" i="3"/>
  <c r="L11" i="3"/>
  <c r="M11" i="3" s="1"/>
  <c r="O14" i="3"/>
  <c r="M15" i="3"/>
  <c r="P23" i="3"/>
  <c r="P27" i="3"/>
  <c r="Q27" i="3" s="1"/>
  <c r="Q31" i="3"/>
  <c r="P31" i="3"/>
  <c r="Q37" i="3"/>
  <c r="Q41" i="3"/>
  <c r="P24" i="3"/>
  <c r="Q24" i="3" s="1"/>
  <c r="P28" i="3"/>
  <c r="Q28" i="3" s="1"/>
  <c r="P32" i="3"/>
  <c r="Q32" i="3" s="1"/>
  <c r="L9" i="3"/>
  <c r="M9" i="3" s="1"/>
  <c r="O12" i="3"/>
  <c r="P21" i="3"/>
  <c r="Q21" i="3" s="1"/>
  <c r="P29" i="3"/>
  <c r="Q29" i="3" s="1"/>
  <c r="I44" i="3"/>
  <c r="P11" i="3"/>
  <c r="Q11" i="3" s="1"/>
  <c r="P35" i="3"/>
  <c r="Q35" i="3" s="1"/>
  <c r="P37" i="3"/>
  <c r="P38" i="3"/>
  <c r="Q38" i="3" s="1"/>
  <c r="P41" i="3"/>
  <c r="P43" i="3"/>
  <c r="Q43" i="3" s="1"/>
  <c r="J5" i="5" l="1"/>
  <c r="I24" i="4"/>
  <c r="Y24" i="4"/>
  <c r="M22" i="4"/>
  <c r="M23" i="4" s="1"/>
  <c r="Q22" i="4"/>
  <c r="Q23" i="4" s="1"/>
  <c r="AC22" i="4"/>
  <c r="AC23" i="4" s="1"/>
  <c r="E22" i="4"/>
  <c r="E23" i="4" s="1"/>
  <c r="U24" i="4"/>
  <c r="P25" i="3"/>
  <c r="Q25" i="3" s="1"/>
  <c r="P13" i="3"/>
  <c r="Q13" i="3" s="1"/>
  <c r="M44" i="3"/>
  <c r="P5" i="3"/>
  <c r="Q5" i="3" s="1"/>
  <c r="P12" i="3"/>
  <c r="Q12" i="3" s="1"/>
  <c r="P10" i="3"/>
  <c r="Q10" i="3" s="1"/>
  <c r="P14" i="3"/>
  <c r="Q14" i="3" s="1"/>
  <c r="Q24" i="4" l="1"/>
  <c r="E24" i="4"/>
  <c r="AC24" i="4"/>
  <c r="M24" i="4"/>
  <c r="Q44" i="3"/>
  <c r="K46" i="3" s="1"/>
  <c r="Q26" i="4" l="1"/>
  <c r="H89" i="1" l="1"/>
  <c r="N89" i="1"/>
  <c r="M89" i="1"/>
  <c r="L89" i="1"/>
  <c r="K89" i="1"/>
  <c r="J89" i="1"/>
  <c r="I89" i="1"/>
  <c r="H87" i="1"/>
  <c r="N87" i="1"/>
  <c r="M87" i="1"/>
  <c r="L87" i="1"/>
  <c r="K87" i="1"/>
  <c r="J87" i="1"/>
  <c r="I87" i="1"/>
  <c r="H86" i="1"/>
  <c r="N86" i="1"/>
  <c r="M86" i="1"/>
  <c r="L86" i="1"/>
  <c r="K86" i="1"/>
  <c r="J86" i="1"/>
  <c r="I86" i="1"/>
  <c r="H84" i="1"/>
  <c r="N84" i="1"/>
  <c r="M84" i="1"/>
  <c r="L84" i="1"/>
  <c r="K84" i="1"/>
  <c r="J84" i="1"/>
  <c r="I84" i="1"/>
  <c r="I82" i="1"/>
  <c r="J82" i="1" s="1"/>
  <c r="H82" i="1"/>
  <c r="F4" i="6" s="1"/>
  <c r="J81" i="1"/>
  <c r="H81" i="1"/>
  <c r="I81" i="1"/>
  <c r="I69" i="1"/>
  <c r="I56" i="1"/>
  <c r="I44" i="1"/>
  <c r="I31" i="1"/>
  <c r="I18" i="1"/>
  <c r="I5" i="1"/>
  <c r="I85" i="1" l="1"/>
  <c r="J85" i="1" s="1"/>
  <c r="K85" i="1" s="1"/>
  <c r="L85" i="1"/>
  <c r="M85" i="1" s="1"/>
  <c r="H80" i="1"/>
  <c r="I80" i="1"/>
  <c r="F78" i="1"/>
  <c r="G78" i="1"/>
  <c r="H78" i="1"/>
  <c r="E78" i="1"/>
  <c r="F76" i="1"/>
  <c r="G76" i="1"/>
  <c r="H76" i="1"/>
  <c r="E76" i="1"/>
  <c r="N85" i="1" l="1"/>
  <c r="H85" i="1"/>
  <c r="F75" i="1"/>
  <c r="G75" i="1"/>
  <c r="H75" i="1"/>
  <c r="E75" i="1"/>
  <c r="F74" i="1"/>
  <c r="G74" i="1"/>
  <c r="H74" i="1"/>
  <c r="E74" i="1"/>
  <c r="F73" i="1"/>
  <c r="G73" i="1"/>
  <c r="H73" i="1"/>
  <c r="E73" i="1"/>
  <c r="F72" i="1"/>
  <c r="G72" i="1"/>
  <c r="H72" i="1"/>
  <c r="E72" i="1"/>
  <c r="F71" i="1"/>
  <c r="G71" i="1"/>
  <c r="H71" i="1"/>
  <c r="E71" i="1"/>
  <c r="H70" i="1"/>
  <c r="G70" i="1"/>
  <c r="F70" i="1"/>
  <c r="E70" i="1"/>
  <c r="H69" i="1"/>
  <c r="G69" i="1"/>
  <c r="F69" i="1"/>
  <c r="H68" i="1"/>
  <c r="G68" i="1"/>
  <c r="F68" i="1"/>
  <c r="H67" i="1"/>
  <c r="I67" i="1"/>
  <c r="F65" i="1"/>
  <c r="G65" i="1"/>
  <c r="H65" i="1"/>
  <c r="E65" i="1"/>
  <c r="H63" i="1"/>
  <c r="G63" i="1"/>
  <c r="F63" i="1"/>
  <c r="E63" i="1"/>
  <c r="F62" i="1"/>
  <c r="G62" i="1"/>
  <c r="H62" i="1"/>
  <c r="E62" i="1"/>
  <c r="F61" i="1"/>
  <c r="G61" i="1"/>
  <c r="H61" i="1"/>
  <c r="E61" i="1"/>
  <c r="F60" i="1"/>
  <c r="G60" i="1"/>
  <c r="H60" i="1"/>
  <c r="E60" i="1"/>
  <c r="F59" i="1"/>
  <c r="G59" i="1"/>
  <c r="H59" i="1"/>
  <c r="E59" i="1"/>
  <c r="F58" i="1"/>
  <c r="G58" i="1"/>
  <c r="H58" i="1"/>
  <c r="E58" i="1"/>
  <c r="H57" i="1"/>
  <c r="G57" i="1"/>
  <c r="F57" i="1"/>
  <c r="E57" i="1"/>
  <c r="H56" i="1"/>
  <c r="G56" i="1"/>
  <c r="F56" i="1"/>
  <c r="H55" i="1"/>
  <c r="G55" i="1"/>
  <c r="F55" i="1"/>
  <c r="H54" i="1"/>
  <c r="I54" i="1"/>
  <c r="H53" i="1"/>
  <c r="F53" i="1"/>
  <c r="G53" i="1"/>
  <c r="E53" i="1"/>
  <c r="H51" i="1"/>
  <c r="G51" i="1"/>
  <c r="F51" i="1"/>
  <c r="E51" i="1"/>
  <c r="F50" i="1"/>
  <c r="G50" i="1"/>
  <c r="H50" i="1"/>
  <c r="E50" i="1"/>
  <c r="F49" i="1"/>
  <c r="G49" i="1"/>
  <c r="H49" i="1"/>
  <c r="E49" i="1"/>
  <c r="F48" i="1"/>
  <c r="G48" i="1"/>
  <c r="H48" i="1"/>
  <c r="E48" i="1"/>
  <c r="H47" i="1"/>
  <c r="G47" i="1"/>
  <c r="F47" i="1"/>
  <c r="E47" i="1"/>
  <c r="H46" i="1"/>
  <c r="G46" i="1"/>
  <c r="F46" i="1"/>
  <c r="E46" i="1"/>
  <c r="H45" i="1"/>
  <c r="G45" i="1"/>
  <c r="F45" i="1"/>
  <c r="E45" i="1"/>
  <c r="H44" i="1"/>
  <c r="G44" i="1"/>
  <c r="F44" i="1"/>
  <c r="H43" i="1"/>
  <c r="G43" i="1"/>
  <c r="F43" i="1"/>
  <c r="I42" i="1"/>
  <c r="H40" i="1"/>
  <c r="F40" i="1"/>
  <c r="E40" i="1"/>
  <c r="H38" i="1"/>
  <c r="F38" i="1"/>
  <c r="E38" i="1"/>
  <c r="F37" i="1"/>
  <c r="H37" i="1"/>
  <c r="E37" i="1"/>
  <c r="F36" i="1"/>
  <c r="H36" i="1" s="1"/>
  <c r="E36" i="1"/>
  <c r="F35" i="1"/>
  <c r="H35" i="1"/>
  <c r="E35" i="1"/>
  <c r="H34" i="1"/>
  <c r="F34" i="1"/>
  <c r="E34" i="1"/>
  <c r="H33" i="1"/>
  <c r="F33" i="1"/>
  <c r="E33" i="1"/>
  <c r="H32" i="1"/>
  <c r="F32" i="1"/>
  <c r="E32" i="1"/>
  <c r="H31" i="1"/>
  <c r="F31" i="1"/>
  <c r="H30" i="1"/>
  <c r="F30" i="1"/>
  <c r="I29" i="1"/>
  <c r="H27" i="1"/>
  <c r="G27" i="1"/>
  <c r="F27" i="1"/>
  <c r="E27" i="1"/>
  <c r="F25" i="1"/>
  <c r="G25" i="1"/>
  <c r="H25" i="1"/>
  <c r="E25" i="1"/>
  <c r="G24" i="1"/>
  <c r="H24" i="1"/>
  <c r="F24" i="1"/>
  <c r="E24" i="1"/>
  <c r="H23" i="1"/>
  <c r="G23" i="1"/>
  <c r="F23" i="1"/>
  <c r="E23" i="1"/>
  <c r="F22" i="1"/>
  <c r="G22" i="1"/>
  <c r="H22" i="1"/>
  <c r="E22" i="1"/>
  <c r="H21" i="1"/>
  <c r="G21" i="1"/>
  <c r="F21" i="1"/>
  <c r="E21" i="1"/>
  <c r="H20" i="1"/>
  <c r="G20" i="1"/>
  <c r="F20" i="1"/>
  <c r="E20" i="1"/>
  <c r="H19" i="1"/>
  <c r="F19" i="1"/>
  <c r="G19" i="1"/>
  <c r="E19" i="1"/>
  <c r="H18" i="1"/>
  <c r="G18" i="1"/>
  <c r="F18" i="1"/>
  <c r="H17" i="1"/>
  <c r="G17" i="1"/>
  <c r="F17" i="1"/>
  <c r="E17" i="1"/>
  <c r="H16" i="1"/>
  <c r="I16" i="1"/>
  <c r="H14" i="1"/>
  <c r="G14" i="1"/>
  <c r="F14" i="1"/>
  <c r="E14" i="1"/>
  <c r="H12" i="1"/>
  <c r="F12" i="1"/>
  <c r="G12" i="1" s="1"/>
  <c r="E12" i="1"/>
  <c r="H11" i="1"/>
  <c r="F11" i="1"/>
  <c r="G11" i="1"/>
  <c r="E11" i="1"/>
  <c r="F10" i="1"/>
  <c r="G10" i="1"/>
  <c r="H10" i="1"/>
  <c r="E10" i="1"/>
  <c r="F9" i="1"/>
  <c r="G9" i="1"/>
  <c r="H9" i="1"/>
  <c r="E9" i="1"/>
  <c r="H8" i="1"/>
  <c r="G8" i="1"/>
  <c r="F8" i="1"/>
  <c r="E8" i="1"/>
  <c r="H7" i="1"/>
  <c r="G7" i="1"/>
  <c r="F7" i="1"/>
  <c r="E7" i="1"/>
  <c r="H6" i="1"/>
  <c r="G6" i="1"/>
  <c r="F6" i="1"/>
  <c r="E6" i="1"/>
  <c r="H4" i="1"/>
  <c r="H5" i="1"/>
  <c r="G5" i="1"/>
  <c r="F5" i="1"/>
  <c r="G4" i="1"/>
  <c r="F4" i="1"/>
  <c r="F5" i="6" l="1"/>
  <c r="I88" i="1"/>
  <c r="J88" i="1" s="1"/>
  <c r="K88" i="1" s="1"/>
  <c r="L88" i="1"/>
  <c r="M88" i="1" s="1"/>
  <c r="H88" i="1" l="1"/>
  <c r="N88" i="1"/>
  <c r="F6" i="6" l="1"/>
  <c r="F9" i="6" s="1"/>
  <c r="H90" i="1"/>
</calcChain>
</file>

<file path=xl/sharedStrings.xml><?xml version="1.0" encoding="utf-8"?>
<sst xmlns="http://schemas.openxmlformats.org/spreadsheetml/2006/main" count="453" uniqueCount="213">
  <si>
    <t>RECURSO HUMANO</t>
  </si>
  <si>
    <t>Supervisor</t>
  </si>
  <si>
    <t>Descripción</t>
  </si>
  <si>
    <t>Subtotal</t>
  </si>
  <si>
    <t xml:space="preserve">8.33% </t>
  </si>
  <si>
    <t>8.33%</t>
  </si>
  <si>
    <t xml:space="preserve">4.17% </t>
  </si>
  <si>
    <t>Operaria Aseo Tiempo Completo</t>
  </si>
  <si>
    <t>Cantidad</t>
  </si>
  <si>
    <t>Operaria Aseo medio Tiempo</t>
  </si>
  <si>
    <t>SUBTOTAL</t>
  </si>
  <si>
    <t>Oficial Mantenimiento</t>
  </si>
  <si>
    <t>Auxiliar Mantenimiento</t>
  </si>
  <si>
    <r>
      <t>A.</t>
    </r>
    <r>
      <rPr>
        <sz val="10"/>
        <color rgb="FF000000"/>
        <rFont val="Arial Narrow"/>
        <family val="2"/>
      </rPr>
      <t xml:space="preserve"> Básico</t>
    </r>
  </si>
  <si>
    <r>
      <t>B.</t>
    </r>
    <r>
      <rPr>
        <sz val="10"/>
        <color rgb="FF000000"/>
        <rFont val="Arial Narrow"/>
        <family val="2"/>
      </rPr>
      <t xml:space="preserve"> Subsidio Transporte</t>
    </r>
  </si>
  <si>
    <r>
      <t xml:space="preserve">C. </t>
    </r>
    <r>
      <rPr>
        <sz val="10"/>
        <color rgb="FF000000"/>
        <rFont val="Arial Narrow"/>
        <family val="2"/>
      </rPr>
      <t>Pensión</t>
    </r>
  </si>
  <si>
    <r>
      <t>D.</t>
    </r>
    <r>
      <rPr>
        <sz val="10"/>
        <color rgb="FF000000"/>
        <rFont val="Arial Narrow"/>
        <family val="2"/>
      </rPr>
      <t xml:space="preserve"> ARL</t>
    </r>
  </si>
  <si>
    <r>
      <t>E.</t>
    </r>
    <r>
      <rPr>
        <sz val="10"/>
        <color rgb="FF000000"/>
        <rFont val="Arial Narrow"/>
        <family val="2"/>
      </rPr>
      <t xml:space="preserve"> Cajas de Compensación</t>
    </r>
  </si>
  <si>
    <r>
      <t>F.</t>
    </r>
    <r>
      <rPr>
        <sz val="10"/>
        <color rgb="FF000000"/>
        <rFont val="Arial Narrow"/>
        <family val="2"/>
      </rPr>
      <t xml:space="preserve"> Cesantías</t>
    </r>
  </si>
  <si>
    <r>
      <t>G.</t>
    </r>
    <r>
      <rPr>
        <sz val="10"/>
        <color rgb="FF000000"/>
        <rFont val="Arial Narrow"/>
        <family val="2"/>
      </rPr>
      <t xml:space="preserve"> Intereses</t>
    </r>
  </si>
  <si>
    <r>
      <t xml:space="preserve">H. </t>
    </r>
    <r>
      <rPr>
        <sz val="10"/>
        <color rgb="FF000000"/>
        <rFont val="Arial Narrow"/>
        <family val="2"/>
      </rPr>
      <t>Prima de servicios</t>
    </r>
  </si>
  <si>
    <r>
      <t xml:space="preserve">I. </t>
    </r>
    <r>
      <rPr>
        <sz val="10"/>
        <color rgb="FF000000"/>
        <rFont val="Arial Narrow"/>
        <family val="2"/>
      </rPr>
      <t>Vacaciones</t>
    </r>
  </si>
  <si>
    <t>VALOR 01 DE ENERO DE 2017 AL 01 DE MAYO DE 2017 (Incremento del 2,77% para el subsidio de transporte)</t>
  </si>
  <si>
    <t>VALOR 01 DE ENERO DE 2017 AL 01 DE MAYO DE 2017 (Incremento del 4,66% para básico, pensión, ARL, cajas de compensación, cesantías, intereses, prima de servicios, vacaciones)</t>
  </si>
  <si>
    <t>VALOR 1 DE ENERO AL 31 DE DICIEMBRE DE 2016 (Incremento del 4,66% para básico, pensión, ARL, cajas de compensación, cesantías, intereses, prima de servicios, vacaciones)</t>
  </si>
  <si>
    <t>VALOR 01 DE ENERO AL 31 DE DICIEMBRE DE 2016 (Incremento del 2,77% para el subsidio de transporte)</t>
  </si>
  <si>
    <t>VALOR 01 MAYO AL 31 DE DICIEMBRE DE 2015 por concepto de subsidio de transporte</t>
  </si>
  <si>
    <t>VALOR 01 MAYO AL 31 DE DICIEMBRE DE 2015 por concepto de subsidio de básico, pensión, ARL, cajas de compensación, cesantías, intereses, prima de servicios, vacaciones.</t>
  </si>
  <si>
    <t>Descripción General</t>
  </si>
  <si>
    <t>Vlr Bruto Mensual</t>
  </si>
  <si>
    <t xml:space="preserve">VALOR 01 MAYO AL 31 DE DICIEMBRE DE 2015 </t>
  </si>
  <si>
    <t xml:space="preserve">Suministro de Insumos de Aseo y Cafetería Sede Central (Bogotá)
NOTA: El proponente debe igualmente diligenciar el ANEXO No. 17 para desarrollar el numeral 2. Insumos de Aseo y Cafetería del ANEXO No. 10 PROPUESTA ECONÓMICA.  </t>
  </si>
  <si>
    <t xml:space="preserve">Suministro de Insumos de Aseo y Cafetería a todas ciudades a excepción de Bogotá y Archipiélago de San Andrés. 
NOTA: El proponente debe igualmente diligenciar el ANEXO No. 17 para desarrollar el numeral 2. Insumos de Aseo y Cafetería del ANEXO No. 10 PROPUESTA ECONÓMICA.   </t>
  </si>
  <si>
    <t xml:space="preserve">Suministro de Insumos de Aseo y Cafetería a punto de atención del Archipielago de San Andrés Islas. 
NOTA 1: El proponente debe igualmente diligenciar el ANEXO No. 17 para desarrollar el numeral 2. Insumos de Aseo y Cafetería del ANEXO No. 10 PROPUESTA ECONÓMICA.   
NOTA 2: Si para el momento del cierre del proceso se ha expedido norma legal por medio de la cual se declare excluído del régimen del IVA a otro municipio y/o departamento, el proponente deberá incluir dentro de este campo el valor neto correspondiente a dicho municipio y/o departamento. </t>
  </si>
  <si>
    <t xml:space="preserve">DESCRIPCIÓN GENERAL </t>
  </si>
  <si>
    <t>Departamento</t>
  </si>
  <si>
    <t>Municipio</t>
  </si>
  <si>
    <t>Dirección</t>
  </si>
  <si>
    <t>Tolima</t>
  </si>
  <si>
    <t>Ibagué</t>
  </si>
  <si>
    <t>Calle 8 No. 3-05.</t>
  </si>
  <si>
    <t>Boyacá</t>
  </si>
  <si>
    <t>Tunja</t>
  </si>
  <si>
    <t>Calle 21 No. 10-32, oficina 301, Edificio Sociedad Boyacense.</t>
  </si>
  <si>
    <t>Meta</t>
  </si>
  <si>
    <t>V/Vicencio</t>
  </si>
  <si>
    <t>Calle 38 No. 30A-64 oficina 401 y 402 edificio Davivienda</t>
  </si>
  <si>
    <t>Huila</t>
  </si>
  <si>
    <t>Neiva</t>
  </si>
  <si>
    <t>Carrera 5 No. 10-38 local 2A  Edificio Condominio Cámara de Comercio.</t>
  </si>
  <si>
    <t>Amazonas</t>
  </si>
  <si>
    <t> Leticia</t>
  </si>
  <si>
    <t>Carrera 11 No. 8-104, Centro Comercial Oporto 9.</t>
  </si>
  <si>
    <t>Atlántico</t>
  </si>
  <si>
    <t>Barranquilla</t>
  </si>
  <si>
    <t>Calle 70 No. 53-74, oficina 301A, piso 3, edificio Centro Financiero.</t>
  </si>
  <si>
    <t>Bolívar</t>
  </si>
  <si>
    <t>Cartagena</t>
  </si>
  <si>
    <t>Carrera 32 No. 9-45, oficina 901 y 902, edificio Banco del Estado.</t>
  </si>
  <si>
    <t>Magdalena</t>
  </si>
  <si>
    <t>Santa Marta</t>
  </si>
  <si>
    <t>Carrera 3 No. 14-16, lozal 102, Edificio de los Bancos.</t>
  </si>
  <si>
    <t>Sucre</t>
  </si>
  <si>
    <t>Sincelejo</t>
  </si>
  <si>
    <t>Calle 23 No. 19-28, local 3, edificio Banco de Colombia.</t>
  </si>
  <si>
    <t>Guajira</t>
  </si>
  <si>
    <t>Riohacha</t>
  </si>
  <si>
    <t>Calle 3 No. 6-11.</t>
  </si>
  <si>
    <t>Córdoba</t>
  </si>
  <si>
    <t>Montería</t>
  </si>
  <si>
    <t>Calle 31 No. 4-47, oficina 509 y 510, edificio Centro de Ejecutivos.</t>
  </si>
  <si>
    <t>Archipiélago de San Andrés Providencia y Santa Catalina</t>
  </si>
  <si>
    <t>San Andrés</t>
  </si>
  <si>
    <t>Sector Point, Avenida Providencia. (contiguo al Centro de Especialistas Sanitas).</t>
  </si>
  <si>
    <t>Santander</t>
  </si>
  <si>
    <t>Bucaramanga</t>
  </si>
  <si>
    <t>Carrera 29 No. 45-45, oficina 703.</t>
  </si>
  <si>
    <t>San Gil</t>
  </si>
  <si>
    <t>Calle 12 No. 9 – 51 Frente al Parque Principal – Alcaldía Municipal</t>
  </si>
  <si>
    <t>33.62</t>
  </si>
  <si>
    <t>Cesar</t>
  </si>
  <si>
    <t>Valledupar</t>
  </si>
  <si>
    <t>Calle 16B No. 12-96, oficina 203, edificio San Martín.</t>
  </si>
  <si>
    <t>Norte de Santander</t>
  </si>
  <si>
    <t xml:space="preserve">Cúcuta </t>
  </si>
  <si>
    <t xml:space="preserve">Calle 9 No. 0 - 136 esquina.     </t>
  </si>
  <si>
    <t> Barrancabermeja</t>
  </si>
  <si>
    <t>Calle 8 No. 50-20, Piso 4, Fase 1. Edificio CPC</t>
  </si>
  <si>
    <t>Representación Casanare</t>
  </si>
  <si>
    <t>Yopal</t>
  </si>
  <si>
    <t>Diagonal 15 No. 15-70, oficina 301, edificio San Miguel.</t>
  </si>
  <si>
    <t>Antioquia</t>
  </si>
  <si>
    <t>Medellín</t>
  </si>
  <si>
    <t>Calle 52 No. 47 - 42, oficina 1002.</t>
  </si>
  <si>
    <t>Risaralda</t>
  </si>
  <si>
    <t>Pereira</t>
  </si>
  <si>
    <t>Calle 19 No. 8-34, piso 4, oficina 401, Edificio Corporación Financiera.</t>
  </si>
  <si>
    <t>Caldas</t>
  </si>
  <si>
    <t>Manizales</t>
  </si>
  <si>
    <t>Calle 23 No. 23-16, piso 3.</t>
  </si>
  <si>
    <t>Chocó</t>
  </si>
  <si>
    <t>Quibdó</t>
  </si>
  <si>
    <t>Calle 24 No. 2-23, oficina 209.</t>
  </si>
  <si>
    <t>Quindío</t>
  </si>
  <si>
    <t>Armenia</t>
  </si>
  <si>
    <t>Calle 21 No. 16-37, oficina 202, edificio Banco Popular.</t>
  </si>
  <si>
    <t>Valle del Cauca</t>
  </si>
  <si>
    <t>Cali</t>
  </si>
  <si>
    <t>Calle 13A No. 100-35, local 4, edificio Torre Empresarial.</t>
  </si>
  <si>
    <t>Nariño</t>
  </si>
  <si>
    <t>Pasto</t>
  </si>
  <si>
    <t>Calle 18 No. 24-29, oficina 302 y 303, edificio Los Andes.</t>
  </si>
  <si>
    <t>Cauca</t>
  </si>
  <si>
    <t>Popayán</t>
  </si>
  <si>
    <t>Carrera. 4 No. 3-62, local 5, Edificio Altozano</t>
  </si>
  <si>
    <t> Putumayo</t>
  </si>
  <si>
    <t>Mocoa</t>
  </si>
  <si>
    <t>Calle 8 No. 7-40, Palacio Departamental de la Gobernación del Putumayo</t>
  </si>
  <si>
    <t>Cundinamarca</t>
  </si>
  <si>
    <t>Bogotá Carrera 3 No. 18-32.</t>
  </si>
  <si>
    <t>Sótano</t>
  </si>
  <si>
    <t>Primer Piso Construido</t>
  </si>
  <si>
    <t>Primer Piso Libre</t>
  </si>
  <si>
    <t>Mezanine</t>
  </si>
  <si>
    <t>Segundo Piso</t>
  </si>
  <si>
    <t>Tercer Piso</t>
  </si>
  <si>
    <t>Cuarto  Piso</t>
  </si>
  <si>
    <t>Quinto Piso</t>
  </si>
  <si>
    <t>Sexto Piso</t>
  </si>
  <si>
    <t>Séptimo Piso</t>
  </si>
  <si>
    <t>Octavo Piso</t>
  </si>
  <si>
    <t>Noveno Piso Construido</t>
  </si>
  <si>
    <t>Noveno Piso Libre</t>
  </si>
  <si>
    <t>Lugar</t>
  </si>
  <si>
    <t>Área Aprox</t>
  </si>
  <si>
    <t>Área Libre</t>
  </si>
  <si>
    <t>Cant  por año</t>
  </si>
  <si>
    <t xml:space="preserve">VALOR 01 DE ENERO AL 31 DE DICIEMBRE DE 2016 (Incremento del 3,66%) </t>
  </si>
  <si>
    <t xml:space="preserve">Cant  </t>
  </si>
  <si>
    <t xml:space="preserve">Cant </t>
  </si>
  <si>
    <t>Vlr Unitario Servicio de Fumigación</t>
  </si>
  <si>
    <t>Vlr Unitario Servicio Fumigación</t>
  </si>
  <si>
    <t>VIGENCIA 01 DE MAYO DE 2015 AL 31 DE DICIEMBRE DE 2015</t>
  </si>
  <si>
    <t>VIGENCIA 01 DE ENERO DE 2016 AL 31 DE DICIEMBRE DE 2016</t>
  </si>
  <si>
    <t>VIGENCIA 01 DE ENERO DE 2017 AL 01 DE MAYO DE 2017</t>
  </si>
  <si>
    <t xml:space="preserve">VALOR 01 DE ENERO AL 01 DE MAYO DE 2017 (Incremento del 3,66%) </t>
  </si>
  <si>
    <t>BOGOTA</t>
  </si>
  <si>
    <t>MEDELLIN</t>
  </si>
  <si>
    <t>BUCARAMANGA</t>
  </si>
  <si>
    <t>CALI</t>
  </si>
  <si>
    <t>BARRANQUILLA</t>
  </si>
  <si>
    <t>Aspiradora Industrial para aspirado en seco</t>
  </si>
  <si>
    <t>No se requiere</t>
  </si>
  <si>
    <t>Kit Básico de Mantenimiento puede incluir:  martillo, hombresolo, llaves de expansión, destornilladores de pala y estrella, juego de copas básico, juego de llaves brístol básico, brocas, pinzas, alicates, flexometro, segueta, llave de tubos, probador eléctrico.</t>
  </si>
  <si>
    <t>Elementos de protección personal y de seguridad industrial (guantes de protección según la actividad a desarrollar, tapabocas, cinturón de seguridad, overol, botas punteras, monogafas, casco, protector de oídos)</t>
  </si>
  <si>
    <t>Para el personal de mantenimiento contratado</t>
  </si>
  <si>
    <t>Suministro de Grecas o Cafeteras: Eléctricas de 110 v, elaborada en lámina de acero inoxidable como mínimo.</t>
  </si>
  <si>
    <t>1 por ciudad</t>
  </si>
  <si>
    <t>Recipientes para envasar agua</t>
  </si>
  <si>
    <t>2 por ciudad</t>
  </si>
  <si>
    <t>Termos tipo push</t>
  </si>
  <si>
    <t>Carro Escurridor</t>
  </si>
  <si>
    <t> No se requiere</t>
  </si>
  <si>
    <t>Carro Basura</t>
  </si>
  <si>
    <t>Carros para tinto</t>
  </si>
  <si>
    <t>Escalera 7 pasos</t>
  </si>
  <si>
    <t>Escalera 3 pasos</t>
  </si>
  <si>
    <t>Extensión Eléctrica, de mínimo 30 mts de longitud, recubierta en plástico PVC</t>
  </si>
  <si>
    <t>Hidrolavadora con motor eléctrico y potencia de mínimo 2.2 kw – 1450 RPM y entre 2.5 HP y 3.5 HP. Presión de salida de agua entre 1500 psi y 1900 psi</t>
  </si>
  <si>
    <t>Kit limpiavidrios</t>
  </si>
  <si>
    <t>Lavapisos</t>
  </si>
  <si>
    <t>Brilladora Industrial o alta definición</t>
  </si>
  <si>
    <t>Señales peatonales de prevención y atención</t>
  </si>
  <si>
    <t>Mangueras, longitud mínima de 60 metros, elaborada en PVC</t>
  </si>
  <si>
    <t>Lavado vidrios de fachada de la sede central del Icetex ubicada en la Cra. 3 # 18-32 de Bogotá</t>
  </si>
  <si>
    <t>Vlr Unitario Servicio Lavada</t>
  </si>
  <si>
    <t>Total con IVA (multiplicado x Cant)</t>
  </si>
  <si>
    <t>Vlr Neto Mensual (multiplicado x Cantidad)</t>
  </si>
  <si>
    <t>NOTA: En caso de que por norma legal tributaria exista exclusión del régimen del impuesto al valor agregado (I.V.A.), el proponente deberá presentar su propuesta económico conforme a esta disposición legal y tributaria, para lo cual deberá indicar expresamente la norma legal aplicable y los municipios exentos del IVA, así:</t>
  </si>
  <si>
    <t>Disposición Legal (indicar artículo y norma)</t>
  </si>
  <si>
    <t xml:space="preserve">Hechos o Circunstancias (s) sobre el (los) cual(es) aplica exclusión del IVA (indicar numeral o literal) (literalidad tomada de la Ley 47 de 1993 por la cual se dictan normas especiales para la organización y el funcionamiento del Departamento Archipiélago de San Andrés, Providencia y Santa Catalina en su artículo 22).     </t>
  </si>
  <si>
    <t>Municipio (s) y/o Departamento (s) con exclusión del régimen de IVA</t>
  </si>
  <si>
    <t>NOTA 1: En caso de que por norma legal tributaria exista exclusión del régimen del impuesto al valor agregado (I.V.A.), el proponente deberá presentar su propuesta económico conforme a esta disposición legal y tributaria, para lo cual deberá indicar expresamente la norma legal aplicable y los municipios exentos del IVA, así:</t>
  </si>
  <si>
    <t>NOTA 2:  Si dentro de la propuesta económica el proponente incluye el IVA estando el hecho excluido del régimen del impuesto a las ventas, su propuesta incurrirá en causal de rechazo</t>
  </si>
  <si>
    <t>VALOR TOTAL 01 DE MAYO DE 2015 AL 01 DE MAYO DE 2017 EN LETRAS</t>
  </si>
  <si>
    <t>VALOR TOTAL 01 DE MAYO DE 2015 AL 01 DE MAYO DE 2017 EN NÚMEROS</t>
  </si>
  <si>
    <t>Valor vigencia 01 de mayo de 2015 al 31 de diciembre de 2015</t>
  </si>
  <si>
    <t>Valor vigencia 01 de enero de 2016 al 31 de diciembre de 2016</t>
  </si>
  <si>
    <t>Valor vigencia 01 de enero de 2017 al 01 de mayo de 2017</t>
  </si>
  <si>
    <t xml:space="preserve">Valor Neto Mensual
</t>
  </si>
  <si>
    <t>Valor Bruto Unitario Mensual</t>
  </si>
  <si>
    <t>SUMATORIA DE LAS VIGENCIAS DESDE EL 01 DE MAYO DE 2015 HASTA 01 DE MAYO DE 2017</t>
  </si>
  <si>
    <t>SUMATORIA DE LAS VIGENCIAS DESDE EL 01 DE MAYO DE 2015 HASTA 01 DE MAYO DE 2017.</t>
  </si>
  <si>
    <t>IVA (En caso que aplique)</t>
  </si>
  <si>
    <t xml:space="preserve">VALOR NETO 01 MAYO AL 31 DE DICIEMBRE DE 2015 </t>
  </si>
  <si>
    <t>VALOR NETO 01 DE ENERO AL 31 DE DICIEMBRE DE 2016 (Incremento del 3,66%)</t>
  </si>
  <si>
    <t>VALOR NETO 01 DE ENERO AL 01 DE MAYO DE 2017 (Incremento del 3,66%)</t>
  </si>
  <si>
    <t>Vlr Neto Mensual ((Vlr Bruto Mensual+IVA) x Cantidad)</t>
  </si>
  <si>
    <t xml:space="preserve">VALOR NETO VIGENCIA DESDE 01 MAYO AL 31 DE DICIEMBRE DE 2015 </t>
  </si>
  <si>
    <t>SUMATORIA VIGENCIAS DESDE 01 DE MAYO DE 2015 HASTA 01 DE MAYO DE 2017</t>
  </si>
  <si>
    <t>Valor Neto ((Vlr Unitario+IVA)  x Cant)</t>
  </si>
  <si>
    <t>VALOR 01 MAYO AL 31 DE DICIEMBRE DE 2015 por concepto de dotación</t>
  </si>
  <si>
    <t>VALOR 01 DE ENERO AL 31 DE DICIEMBRE DE 2016 (Incremento del 3,66% para la dotación)</t>
  </si>
  <si>
    <t>VALOR 01 DE ENERO DE 2017 AL 01 DE MAYO DE 2017 (Incremento del 2,77% para la dotación)</t>
  </si>
  <si>
    <t xml:space="preserve">VALOR NETO VIGENCIA DESDE 01 ENERO AL 31 DE DICIEMBRE DE 2016 (Incremento del 3,66%) </t>
  </si>
  <si>
    <t xml:space="preserve">VALOR NETO VIGENCIA DESDE 01 ENERO AL 1 DE MAYO DE 2017 (Incremento del 3,66%) </t>
  </si>
  <si>
    <t xml:space="preserve">SUMATORIA TOTAL VIGENCIAS DESDE 01 DE MAYO DE 2015 HASTA 01 DE MAYO DE 2017 DE TODAS LAS CIUDADES </t>
  </si>
  <si>
    <t>AIU 
10%</t>
  </si>
  <si>
    <t>OTRAS CIUDADES (Arauca, Cartagena, Tunja, Manizales, Popayán, Valledupar, Quibdó, Montería, Neiva, Santa Marta, Villavicencio, Pasto, Cúcuta, Armenia, Pereira, San Gil, Sincelejo, Ibague, Riohacha, Yopal, Barrancabermeja,Mocoa)</t>
  </si>
  <si>
    <t>ARCHIPIÉLAGO DE SAN ANDRÉS ISLAS Y LETICIA AMAZONAS</t>
  </si>
  <si>
    <r>
      <t xml:space="preserve">Operaria Aseo medio Tiempo Punto de Atención San Andrés y Leticia
</t>
    </r>
    <r>
      <rPr>
        <sz val="10"/>
        <color rgb="FFFF0000"/>
        <rFont val="Arial Narrow"/>
        <family val="2"/>
      </rPr>
      <t xml:space="preserve">* Si para el momento del cierre del proceso se ha expedido norma legal por medio de la cual se declare excluído del régimen del IVA a otro municipio y/o departamento, el proponente deberá aumentar la disminuir y/o aumentar la cantidad de operarias, de acuerdo al tipo de servicio requerido por el ICETEX (tiempo completo, medio tiempo, auxiliar, oficial)
</t>
    </r>
  </si>
  <si>
    <t>VALOR DE LA PROPUESTA ECONÓMICA CALCULADO POR LA ENTIDAD CON LOS VALORES OFERTADOS POR CONSERJES INMOBILIARIOS LTDA EN SU PROPUESTA</t>
  </si>
  <si>
    <t>NOTA DEL EVALUADOR: La oferta presentada por el proponente se encuentra ajustada a los incrmentos porcentuales establecidos en el pliego de condiciones y en la adenda No. 03</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</si>
</sst>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 #,##0_);[Red]\(&quot;$&quot;\ #,##0\)"/>
    <numFmt numFmtId="43" formatCode="_(* #,##0.00_);_(* \(#,##0.00\);_(* &quot;-&quot;??_);_(@_)"/>
    <numFmt numFmtId="164" formatCode="_-* #,##0.00_-;\-* #,##0.00_-;_-* &quot;-&quot;??_-;_-@_-"/>
    <numFmt numFmtId="165" formatCode="_(&quot;$&quot;* #,##0.00_);_(&quot;$&quot;* \(#,##0.00\);_(&quot;$&quot;* &quot;-&quot;??_);_(@_)"/>
    <numFmt numFmtId="166" formatCode="_(&quot;$&quot;* #,##0_);_(&quot;$&quot;* \(#,##0\);_(&quot;$&quot;* &quot;-&quot;??_);_(@_)"/>
    <numFmt numFmtId="167" formatCode="&quot;$&quot;#,##0"/>
    <numFmt numFmtId="168" formatCode="&quot;$&quot;#,##0.00"/>
    <numFmt numFmtId="169" formatCode="&quot;$&quot;#,##0;[Red]&quot;$&quot;#,##0"/>
    <numFmt numFmtId="170" formatCode="_(* #,##0_);_(* \(#,##0\);_(* &quot;-&quot;??_);_(@_)"/>
  </numFmts>
  <fonts count="29" x14ac:knownFonts="1">
    <font>
      <sz val="11"/>
      <color theme="1"/>
      <name val="Calibri"/>
      <family val="2"/>
      <scheme val="minor"/>
    </font>
    <font>
      <b/>
      <sz val="11"/>
      <color theme="1"/>
      <name val="Calibri"/>
      <family val="2"/>
      <scheme val="minor"/>
    </font>
    <font>
      <sz val="10"/>
      <color theme="1"/>
      <name val="Times New Roman"/>
      <family val="1"/>
    </font>
    <font>
      <sz val="10"/>
      <name val="Arial"/>
      <family val="2"/>
    </font>
    <font>
      <b/>
      <sz val="10"/>
      <color rgb="FF000000"/>
      <name val="Arial Narrow"/>
      <family val="2"/>
    </font>
    <font>
      <b/>
      <sz val="10"/>
      <name val="Arial Narrow"/>
      <family val="2"/>
    </font>
    <font>
      <sz val="10"/>
      <name val="Arial Narrow"/>
      <family val="2"/>
    </font>
    <font>
      <sz val="10"/>
      <color theme="1"/>
      <name val="Arial Narrow"/>
      <family val="2"/>
    </font>
    <font>
      <sz val="10"/>
      <color rgb="FF000000"/>
      <name val="Arial Narrow"/>
      <family val="2"/>
    </font>
    <font>
      <b/>
      <sz val="10"/>
      <color theme="1"/>
      <name val="Arial Narrow"/>
      <family val="2"/>
    </font>
    <font>
      <b/>
      <sz val="9"/>
      <color theme="1"/>
      <name val="Calibri"/>
      <family val="2"/>
    </font>
    <font>
      <sz val="9"/>
      <color theme="1"/>
      <name val="Calibri"/>
      <family val="2"/>
    </font>
    <font>
      <b/>
      <sz val="9"/>
      <color theme="1"/>
      <name val="Arial Narrow"/>
      <family val="2"/>
    </font>
    <font>
      <sz val="11"/>
      <color theme="1"/>
      <name val="Arial Narrow"/>
      <family val="2"/>
    </font>
    <font>
      <sz val="9"/>
      <color theme="1"/>
      <name val="Arial Narrow"/>
      <family val="2"/>
    </font>
    <font>
      <b/>
      <sz val="7"/>
      <color rgb="FF000000"/>
      <name val="Calibri"/>
      <family val="2"/>
    </font>
    <font>
      <b/>
      <sz val="7"/>
      <color theme="1"/>
      <name val="Calibri"/>
      <family val="2"/>
    </font>
    <font>
      <b/>
      <sz val="7"/>
      <color rgb="FF000000"/>
      <name val="Arial Narrow"/>
      <family val="2"/>
    </font>
    <font>
      <sz val="9"/>
      <color rgb="FF000000"/>
      <name val="Arial Narrow"/>
      <family val="2"/>
    </font>
    <font>
      <b/>
      <sz val="9"/>
      <color rgb="FF000000"/>
      <name val="Arial Narrow"/>
      <family val="2"/>
    </font>
    <font>
      <b/>
      <sz val="11"/>
      <color rgb="FF000000"/>
      <name val="Calibri"/>
      <family val="2"/>
    </font>
    <font>
      <b/>
      <sz val="10"/>
      <color rgb="FFFF0000"/>
      <name val="Arial Narrow"/>
      <family val="2"/>
    </font>
    <font>
      <sz val="14"/>
      <color theme="1"/>
      <name val="Arial Narrow"/>
      <family val="2"/>
    </font>
    <font>
      <b/>
      <sz val="14"/>
      <color theme="1"/>
      <name val="Arial Narrow"/>
      <family val="2"/>
    </font>
    <font>
      <sz val="11"/>
      <color theme="1"/>
      <name val="Calibri"/>
      <family val="2"/>
      <scheme val="minor"/>
    </font>
    <font>
      <b/>
      <sz val="11"/>
      <color theme="1"/>
      <name val="Arial Narrow"/>
      <family val="2"/>
    </font>
    <font>
      <sz val="10"/>
      <color rgb="FFFF0000"/>
      <name val="Arial Narrow"/>
      <family val="2"/>
    </font>
    <font>
      <sz val="9"/>
      <name val="Arial Narrow"/>
      <family val="2"/>
    </font>
    <font>
      <sz val="11"/>
      <name val="Arial Narrow"/>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FFFFF"/>
        <bgColor indexed="64"/>
      </patternFill>
    </fill>
    <fill>
      <patternFill patternType="solid">
        <fgColor theme="5"/>
        <bgColor indexed="64"/>
      </patternFill>
    </fill>
    <fill>
      <patternFill patternType="solid">
        <fgColor theme="5" tint="-0.249977111117893"/>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8">
    <xf numFmtId="0" fontId="0"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164" fontId="24" fillId="0" borderId="0" applyFont="0" applyFill="0" applyBorder="0" applyAlignment="0" applyProtection="0"/>
  </cellStyleXfs>
  <cellXfs count="212">
    <xf numFmtId="0" fontId="0" fillId="0" borderId="0" xfId="0"/>
    <xf numFmtId="0" fontId="7" fillId="0" borderId="0" xfId="0" applyFont="1"/>
    <xf numFmtId="0" fontId="7" fillId="0" borderId="13" xfId="0" applyFont="1" applyBorder="1"/>
    <xf numFmtId="0" fontId="4" fillId="0" borderId="13" xfId="0" applyFont="1" applyBorder="1" applyAlignment="1">
      <alignment horizontal="justify" vertical="center" wrapText="1"/>
    </xf>
    <xf numFmtId="0" fontId="4" fillId="0" borderId="13" xfId="0" applyFont="1" applyBorder="1" applyAlignment="1">
      <alignment horizontal="left" vertical="center" wrapText="1"/>
    </xf>
    <xf numFmtId="9" fontId="8" fillId="0" borderId="13" xfId="0" applyNumberFormat="1" applyFont="1" applyBorder="1" applyAlignment="1">
      <alignment horizontal="justify" vertical="center" wrapText="1"/>
    </xf>
    <xf numFmtId="0" fontId="8" fillId="0" borderId="13" xfId="0" applyFont="1" applyBorder="1" applyAlignment="1">
      <alignment horizontal="justify" vertical="center" wrapText="1"/>
    </xf>
    <xf numFmtId="166" fontId="6" fillId="0" borderId="6" xfId="2" applyNumberFormat="1"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justify" vertical="center" wrapText="1"/>
    </xf>
    <xf numFmtId="9" fontId="8" fillId="0" borderId="6" xfId="0" applyNumberFormat="1" applyFont="1" applyBorder="1" applyAlignment="1">
      <alignment horizontal="justify" vertical="center" wrapText="1"/>
    </xf>
    <xf numFmtId="0" fontId="8" fillId="0" borderId="6" xfId="0" applyFont="1" applyBorder="1" applyAlignment="1">
      <alignment horizontal="justify" vertical="center" wrapText="1"/>
    </xf>
    <xf numFmtId="0" fontId="4" fillId="0" borderId="6" xfId="0" applyFont="1" applyBorder="1" applyAlignment="1">
      <alignment horizontal="justify" vertical="center"/>
    </xf>
    <xf numFmtId="0" fontId="7" fillId="0" borderId="6" xfId="0" applyFont="1" applyBorder="1"/>
    <xf numFmtId="0" fontId="11" fillId="0" borderId="0" xfId="0" applyFont="1" applyAlignment="1">
      <alignment horizontal="justify" vertical="center" wrapText="1"/>
    </xf>
    <xf numFmtId="0" fontId="7" fillId="2" borderId="0" xfId="0" applyFont="1" applyFill="1" applyBorder="1"/>
    <xf numFmtId="0" fontId="7" fillId="2" borderId="13" xfId="0" applyFont="1" applyFill="1" applyBorder="1" applyAlignment="1">
      <alignment horizontal="justify" vertical="center" wrapText="1"/>
    </xf>
    <xf numFmtId="0" fontId="7" fillId="2" borderId="0" xfId="0" applyFont="1" applyFill="1" applyBorder="1" applyAlignment="1">
      <alignment horizontal="justify" vertical="center" wrapText="1"/>
    </xf>
    <xf numFmtId="166" fontId="5" fillId="2" borderId="13" xfId="2" applyNumberFormat="1" applyFont="1" applyFill="1" applyBorder="1" applyAlignment="1">
      <alignment horizontal="center" vertical="center" wrapText="1"/>
    </xf>
    <xf numFmtId="0" fontId="0" fillId="0" borderId="0" xfId="0" applyBorder="1"/>
    <xf numFmtId="0" fontId="11" fillId="0" borderId="0" xfId="0" applyFont="1" applyBorder="1" applyAlignment="1">
      <alignment horizontal="center" vertical="center"/>
    </xf>
    <xf numFmtId="0" fontId="11" fillId="0" borderId="0" xfId="0" applyFont="1" applyBorder="1" applyAlignment="1">
      <alignment horizontal="justify" vertical="center"/>
    </xf>
    <xf numFmtId="0" fontId="2" fillId="0" borderId="0" xfId="0" applyFont="1" applyBorder="1"/>
    <xf numFmtId="0" fontId="2" fillId="0" borderId="0" xfId="0" applyFont="1" applyBorder="1" applyAlignment="1">
      <alignment vertical="center"/>
    </xf>
    <xf numFmtId="0" fontId="10" fillId="0" borderId="0" xfId="0" applyFont="1" applyBorder="1" applyAlignment="1">
      <alignment horizontal="justify" vertical="center"/>
    </xf>
    <xf numFmtId="0" fontId="15" fillId="4" borderId="13" xfId="0" applyFont="1" applyFill="1" applyBorder="1" applyAlignment="1">
      <alignment horizontal="center" vertical="center" wrapText="1"/>
    </xf>
    <xf numFmtId="0" fontId="15" fillId="4" borderId="13" xfId="0" applyFont="1" applyFill="1" applyBorder="1" applyAlignment="1">
      <alignment horizontal="justify" vertical="center" wrapText="1"/>
    </xf>
    <xf numFmtId="0" fontId="11" fillId="5" borderId="13" xfId="0" applyFont="1" applyFill="1" applyBorder="1" applyAlignment="1">
      <alignment horizontal="justify" vertical="center" wrapText="1"/>
    </xf>
    <xf numFmtId="0" fontId="11" fillId="0" borderId="13" xfId="0" applyFont="1" applyBorder="1" applyAlignment="1">
      <alignment horizontal="center" vertical="center"/>
    </xf>
    <xf numFmtId="0" fontId="11" fillId="0" borderId="13" xfId="0" applyFont="1" applyBorder="1" applyAlignment="1">
      <alignment horizontal="center" vertical="center" wrapText="1"/>
    </xf>
    <xf numFmtId="0" fontId="2" fillId="0" borderId="4" xfId="0" applyFont="1" applyBorder="1"/>
    <xf numFmtId="0" fontId="2" fillId="0" borderId="5" xfId="0" applyFont="1" applyBorder="1"/>
    <xf numFmtId="0" fontId="2" fillId="0" borderId="5" xfId="0" applyFont="1" applyBorder="1" applyAlignment="1">
      <alignment vertical="center"/>
    </xf>
    <xf numFmtId="0" fontId="2" fillId="0" borderId="17" xfId="0" applyFont="1" applyBorder="1"/>
    <xf numFmtId="0" fontId="0" fillId="0" borderId="16" xfId="0" applyBorder="1" applyAlignment="1">
      <alignment vertical="top"/>
    </xf>
    <xf numFmtId="0" fontId="0" fillId="0" borderId="12" xfId="0" applyBorder="1"/>
    <xf numFmtId="0" fontId="13" fillId="0" borderId="0" xfId="0" applyFont="1" applyBorder="1"/>
    <xf numFmtId="0" fontId="18" fillId="0" borderId="0" xfId="0" applyFont="1" applyBorder="1" applyAlignment="1">
      <alignment horizontal="justify" vertical="center" wrapText="1"/>
    </xf>
    <xf numFmtId="0" fontId="19" fillId="0" borderId="0" xfId="0" applyFont="1" applyBorder="1" applyAlignment="1">
      <alignment horizontal="justify" vertical="center" wrapText="1"/>
    </xf>
    <xf numFmtId="0" fontId="17" fillId="0" borderId="13" xfId="0" applyFont="1" applyBorder="1" applyAlignment="1">
      <alignment horizontal="center" vertical="center"/>
    </xf>
    <xf numFmtId="0" fontId="17" fillId="0" borderId="13" xfId="0" applyFont="1" applyBorder="1" applyAlignment="1">
      <alignment horizontal="center" vertical="center" wrapText="1"/>
    </xf>
    <xf numFmtId="0" fontId="18" fillId="0" borderId="13" xfId="0" applyFont="1" applyBorder="1" applyAlignment="1">
      <alignment horizontal="justify" vertical="center" wrapText="1"/>
    </xf>
    <xf numFmtId="0" fontId="18" fillId="0" borderId="13" xfId="0" applyFont="1" applyBorder="1" applyAlignment="1">
      <alignment horizontal="center" vertical="center"/>
    </xf>
    <xf numFmtId="0" fontId="18" fillId="0" borderId="13" xfId="0" applyFont="1" applyBorder="1" applyAlignment="1">
      <alignment horizontal="center" vertical="center" wrapText="1"/>
    </xf>
    <xf numFmtId="0" fontId="18" fillId="0" borderId="0" xfId="0" applyFont="1" applyBorder="1" applyAlignment="1">
      <alignment horizontal="justify" vertical="top" wrapText="1"/>
    </xf>
    <xf numFmtId="0" fontId="0" fillId="0" borderId="0" xfId="0" applyAlignment="1">
      <alignment vertical="top"/>
    </xf>
    <xf numFmtId="0" fontId="11" fillId="0" borderId="13" xfId="0" applyFont="1" applyBorder="1" applyAlignment="1">
      <alignment horizontal="justify" vertical="top" wrapText="1"/>
    </xf>
    <xf numFmtId="0" fontId="12" fillId="0" borderId="0" xfId="0" applyFont="1" applyBorder="1" applyAlignment="1">
      <alignment vertical="center" wrapText="1"/>
    </xf>
    <xf numFmtId="0" fontId="12" fillId="0" borderId="13" xfId="0" applyFont="1" applyBorder="1" applyAlignment="1">
      <alignment horizontal="center" vertical="center" wrapText="1"/>
    </xf>
    <xf numFmtId="0" fontId="12" fillId="0" borderId="13" xfId="0" applyFont="1" applyBorder="1" applyAlignment="1">
      <alignment vertical="center" wrapText="1"/>
    </xf>
    <xf numFmtId="0" fontId="12" fillId="0" borderId="13" xfId="0" applyFont="1" applyBorder="1" applyAlignment="1">
      <alignment horizontal="justify" vertical="center" wrapText="1"/>
    </xf>
    <xf numFmtId="0" fontId="12" fillId="0" borderId="13" xfId="0" applyFont="1" applyBorder="1" applyAlignment="1">
      <alignment horizontal="center" vertical="center" wrapText="1"/>
    </xf>
    <xf numFmtId="0" fontId="7" fillId="0" borderId="0" xfId="0" applyFont="1" applyAlignment="1">
      <alignment vertical="top" wrapText="1"/>
    </xf>
    <xf numFmtId="0" fontId="7" fillId="0" borderId="0" xfId="0" applyFont="1" applyBorder="1"/>
    <xf numFmtId="0" fontId="14" fillId="0" borderId="0" xfId="0" applyFont="1" applyAlignment="1">
      <alignment vertical="center" wrapText="1"/>
    </xf>
    <xf numFmtId="0" fontId="20" fillId="0" borderId="13" xfId="0" applyFont="1" applyBorder="1" applyAlignment="1">
      <alignment horizontal="left" vertical="center"/>
    </xf>
    <xf numFmtId="166" fontId="5" fillId="2" borderId="0" xfId="2" applyNumberFormat="1" applyFont="1" applyFill="1" applyBorder="1" applyAlignment="1">
      <alignment horizontal="center" vertical="top" wrapText="1"/>
    </xf>
    <xf numFmtId="0" fontId="9" fillId="2" borderId="13" xfId="0" applyFont="1" applyFill="1" applyBorder="1" applyAlignment="1">
      <alignment horizontal="center" vertical="center" wrapText="1"/>
    </xf>
    <xf numFmtId="0" fontId="7" fillId="2" borderId="4" xfId="0" applyFont="1" applyFill="1" applyBorder="1" applyAlignment="1">
      <alignment horizontal="justify" vertical="center" wrapText="1"/>
    </xf>
    <xf numFmtId="0" fontId="7" fillId="2" borderId="5" xfId="0" applyFont="1" applyFill="1" applyBorder="1" applyAlignment="1">
      <alignment vertical="top"/>
    </xf>
    <xf numFmtId="0" fontId="0" fillId="0" borderId="4" xfId="0" applyBorder="1"/>
    <xf numFmtId="3" fontId="4" fillId="0" borderId="13" xfId="0" applyNumberFormat="1" applyFont="1" applyBorder="1" applyAlignment="1">
      <alignment horizontal="center" vertical="center" wrapText="1"/>
    </xf>
    <xf numFmtId="168" fontId="4" fillId="0" borderId="13" xfId="0" applyNumberFormat="1" applyFont="1" applyBorder="1" applyAlignment="1">
      <alignment horizontal="justify" vertical="center" wrapText="1"/>
    </xf>
    <xf numFmtId="4" fontId="4" fillId="0" borderId="13" xfId="0" applyNumberFormat="1" applyFont="1" applyBorder="1" applyAlignment="1">
      <alignment horizontal="center" vertical="center" wrapText="1"/>
    </xf>
    <xf numFmtId="4" fontId="8" fillId="0" borderId="13" xfId="0" applyNumberFormat="1" applyFont="1" applyBorder="1" applyAlignment="1">
      <alignment horizontal="center" vertical="center" wrapText="1"/>
    </xf>
    <xf numFmtId="168" fontId="8" fillId="0" borderId="13" xfId="0" applyNumberFormat="1" applyFont="1" applyBorder="1" applyAlignment="1">
      <alignment horizontal="center" vertical="center" wrapText="1"/>
    </xf>
    <xf numFmtId="168" fontId="4" fillId="0" borderId="13" xfId="0" applyNumberFormat="1" applyFont="1" applyBorder="1" applyAlignment="1">
      <alignment horizontal="center" vertical="center" wrapText="1"/>
    </xf>
    <xf numFmtId="168" fontId="8" fillId="0" borderId="13" xfId="0" applyNumberFormat="1" applyFont="1" applyBorder="1" applyAlignment="1">
      <alignment horizontal="justify" vertical="center" wrapText="1"/>
    </xf>
    <xf numFmtId="168" fontId="4" fillId="0" borderId="13" xfId="0" applyNumberFormat="1" applyFont="1" applyBorder="1" applyAlignment="1">
      <alignment horizontal="justify" vertical="center"/>
    </xf>
    <xf numFmtId="167" fontId="4" fillId="0" borderId="6" xfId="0" applyNumberFormat="1" applyFont="1" applyBorder="1" applyAlignment="1">
      <alignment horizontal="justify" vertical="center" wrapText="1"/>
    </xf>
    <xf numFmtId="168" fontId="8" fillId="0" borderId="13" xfId="0" applyNumberFormat="1" applyFont="1" applyBorder="1" applyAlignment="1">
      <alignment horizontal="center" vertical="center"/>
    </xf>
    <xf numFmtId="4" fontId="8" fillId="0" borderId="13" xfId="0" applyNumberFormat="1" applyFont="1" applyFill="1" applyBorder="1" applyAlignment="1">
      <alignment horizontal="center" vertical="center" wrapText="1"/>
    </xf>
    <xf numFmtId="4" fontId="8" fillId="0" borderId="13" xfId="0" applyNumberFormat="1" applyFont="1" applyBorder="1" applyAlignment="1">
      <alignment horizontal="center" vertical="center"/>
    </xf>
    <xf numFmtId="168" fontId="7" fillId="0" borderId="13" xfId="0" applyNumberFormat="1" applyFont="1" applyBorder="1" applyAlignment="1">
      <alignment horizontal="center"/>
    </xf>
    <xf numFmtId="167" fontId="4" fillId="0" borderId="6" xfId="0" applyNumberFormat="1" applyFont="1" applyBorder="1" applyAlignment="1">
      <alignment horizontal="center" vertical="center" wrapText="1"/>
    </xf>
    <xf numFmtId="168" fontId="7" fillId="0" borderId="6" xfId="0" applyNumberFormat="1" applyFont="1" applyBorder="1"/>
    <xf numFmtId="168" fontId="9" fillId="0" borderId="13" xfId="0" applyNumberFormat="1" applyFont="1" applyBorder="1" applyAlignment="1">
      <alignment horizontal="center"/>
    </xf>
    <xf numFmtId="4" fontId="7" fillId="0" borderId="6" xfId="0" applyNumberFormat="1" applyFont="1" applyBorder="1"/>
    <xf numFmtId="168" fontId="7" fillId="0" borderId="0" xfId="0" applyNumberFormat="1" applyFont="1"/>
    <xf numFmtId="168" fontId="4" fillId="0" borderId="6" xfId="0" applyNumberFormat="1" applyFont="1" applyBorder="1" applyAlignment="1">
      <alignment horizontal="justify" vertical="center" wrapText="1"/>
    </xf>
    <xf numFmtId="168" fontId="9" fillId="0" borderId="6" xfId="0" applyNumberFormat="1" applyFont="1" applyBorder="1" applyAlignment="1">
      <alignment horizontal="center"/>
    </xf>
    <xf numFmtId="168" fontId="4" fillId="0" borderId="6" xfId="0" applyNumberFormat="1" applyFont="1" applyBorder="1" applyAlignment="1">
      <alignment horizontal="center" vertical="center" wrapText="1"/>
    </xf>
    <xf numFmtId="168" fontId="9" fillId="0" borderId="0" xfId="0" applyNumberFormat="1" applyFont="1"/>
    <xf numFmtId="168" fontId="9" fillId="6" borderId="13" xfId="0" applyNumberFormat="1" applyFont="1" applyFill="1" applyBorder="1" applyAlignment="1">
      <alignment horizontal="center"/>
    </xf>
    <xf numFmtId="167" fontId="7" fillId="0" borderId="0" xfId="0" applyNumberFormat="1" applyFont="1"/>
    <xf numFmtId="167" fontId="9" fillId="6" borderId="13" xfId="0" applyNumberFormat="1" applyFont="1" applyFill="1" applyBorder="1" applyAlignment="1">
      <alignment horizontal="center"/>
    </xf>
    <xf numFmtId="0" fontId="22" fillId="0" borderId="0" xfId="0" applyFont="1"/>
    <xf numFmtId="168" fontId="23" fillId="7" borderId="13" xfId="0" applyNumberFormat="1" applyFont="1" applyFill="1" applyBorder="1" applyAlignment="1">
      <alignment horizontal="center"/>
    </xf>
    <xf numFmtId="167" fontId="7" fillId="2" borderId="13" xfId="0" applyNumberFormat="1" applyFont="1" applyFill="1" applyBorder="1" applyAlignment="1">
      <alignment horizontal="center" vertical="center"/>
    </xf>
    <xf numFmtId="0" fontId="0" fillId="0" borderId="0" xfId="0"/>
    <xf numFmtId="168" fontId="7" fillId="0" borderId="0" xfId="0" applyNumberFormat="1" applyFont="1" applyAlignment="1">
      <alignment horizontal="center"/>
    </xf>
    <xf numFmtId="167" fontId="7" fillId="0" borderId="13" xfId="0" applyNumberFormat="1" applyFont="1" applyBorder="1" applyAlignment="1">
      <alignment horizontal="center"/>
    </xf>
    <xf numFmtId="170" fontId="11" fillId="0" borderId="13" xfId="7" applyNumberFormat="1" applyFont="1" applyBorder="1" applyAlignment="1">
      <alignment horizontal="justify" vertical="center"/>
    </xf>
    <xf numFmtId="170" fontId="10" fillId="0" borderId="13" xfId="7" applyNumberFormat="1" applyFont="1" applyBorder="1" applyAlignment="1">
      <alignment horizontal="justify" vertical="top"/>
    </xf>
    <xf numFmtId="170" fontId="0" fillId="0" borderId="13" xfId="7" applyNumberFormat="1" applyFont="1" applyBorder="1" applyAlignment="1">
      <alignment vertical="top"/>
    </xf>
    <xf numFmtId="170" fontId="0" fillId="0" borderId="13" xfId="0" applyNumberFormat="1" applyBorder="1" applyAlignment="1">
      <alignment vertical="top"/>
    </xf>
    <xf numFmtId="170" fontId="0" fillId="0" borderId="14" xfId="7" applyNumberFormat="1" applyFont="1" applyBorder="1"/>
    <xf numFmtId="170" fontId="0" fillId="0" borderId="0" xfId="7" applyNumberFormat="1" applyFont="1" applyBorder="1"/>
    <xf numFmtId="170" fontId="18" fillId="0" borderId="13" xfId="7" applyNumberFormat="1" applyFont="1" applyBorder="1" applyAlignment="1">
      <alignment horizontal="center" vertical="center"/>
    </xf>
    <xf numFmtId="170" fontId="18" fillId="0" borderId="13" xfId="7" applyNumberFormat="1" applyFont="1" applyBorder="1" applyAlignment="1">
      <alignment horizontal="center" vertical="center" wrapText="1"/>
    </xf>
    <xf numFmtId="170" fontId="18" fillId="0" borderId="0" xfId="7" applyNumberFormat="1" applyFont="1" applyBorder="1" applyAlignment="1">
      <alignment horizontal="justify" vertical="center" wrapText="1"/>
    </xf>
    <xf numFmtId="170" fontId="19" fillId="0" borderId="13" xfId="7" applyNumberFormat="1" applyFont="1" applyBorder="1" applyAlignment="1">
      <alignment horizontal="justify" vertical="center" wrapText="1"/>
    </xf>
    <xf numFmtId="170" fontId="18" fillId="0" borderId="13" xfId="7" applyNumberFormat="1" applyFont="1" applyBorder="1" applyAlignment="1">
      <alignment horizontal="justify" vertical="top" wrapText="1"/>
    </xf>
    <xf numFmtId="170" fontId="19" fillId="0" borderId="0" xfId="7" applyNumberFormat="1" applyFont="1" applyBorder="1" applyAlignment="1">
      <alignment horizontal="justify" vertical="center" wrapText="1"/>
    </xf>
    <xf numFmtId="170" fontId="18" fillId="0" borderId="0" xfId="7" applyNumberFormat="1" applyFont="1" applyBorder="1" applyAlignment="1">
      <alignment horizontal="justify" vertical="top" wrapText="1"/>
    </xf>
    <xf numFmtId="170" fontId="18" fillId="0" borderId="14" xfId="7" applyNumberFormat="1" applyFont="1" applyBorder="1" applyAlignment="1">
      <alignment horizontal="justify" vertical="center" wrapText="1"/>
    </xf>
    <xf numFmtId="170" fontId="13" fillId="0" borderId="12" xfId="7" applyNumberFormat="1" applyFont="1" applyBorder="1"/>
    <xf numFmtId="170" fontId="13" fillId="0" borderId="0" xfId="0" applyNumberFormat="1" applyFont="1" applyBorder="1"/>
    <xf numFmtId="170" fontId="25" fillId="0" borderId="0" xfId="0" applyNumberFormat="1" applyFont="1" applyBorder="1"/>
    <xf numFmtId="0" fontId="13" fillId="0" borderId="0" xfId="0" applyFont="1" applyBorder="1" applyAlignment="1">
      <alignment horizontal="center"/>
    </xf>
    <xf numFmtId="170" fontId="0" fillId="0" borderId="13" xfId="7" applyNumberFormat="1" applyFont="1" applyBorder="1"/>
    <xf numFmtId="164" fontId="0" fillId="0" borderId="13" xfId="7" applyFont="1" applyBorder="1"/>
    <xf numFmtId="164" fontId="0" fillId="0" borderId="0" xfId="7" applyFont="1"/>
    <xf numFmtId="164" fontId="1" fillId="0" borderId="13" xfId="7" applyFont="1" applyBorder="1"/>
    <xf numFmtId="168" fontId="7" fillId="0" borderId="13" xfId="0" applyNumberFormat="1" applyFont="1" applyBorder="1"/>
    <xf numFmtId="168" fontId="9" fillId="0" borderId="13" xfId="0" applyNumberFormat="1" applyFont="1" applyBorder="1"/>
    <xf numFmtId="168" fontId="9" fillId="6" borderId="13" xfId="0" applyNumberFormat="1" applyFont="1" applyFill="1" applyBorder="1"/>
    <xf numFmtId="167" fontId="9" fillId="6" borderId="13" xfId="0" applyNumberFormat="1" applyFont="1" applyFill="1" applyBorder="1"/>
    <xf numFmtId="168" fontId="9" fillId="6" borderId="13" xfId="0" applyNumberFormat="1" applyFont="1" applyFill="1" applyBorder="1" applyAlignment="1"/>
    <xf numFmtId="167" fontId="7" fillId="0" borderId="13" xfId="0" applyNumberFormat="1" applyFont="1" applyBorder="1"/>
    <xf numFmtId="167" fontId="9" fillId="0" borderId="13" xfId="0" applyNumberFormat="1" applyFont="1" applyBorder="1" applyAlignment="1">
      <alignment horizontal="center"/>
    </xf>
    <xf numFmtId="167" fontId="9" fillId="0" borderId="13" xfId="0" applyNumberFormat="1" applyFont="1" applyBorder="1"/>
    <xf numFmtId="0" fontId="27" fillId="0" borderId="13" xfId="0" applyFont="1" applyBorder="1" applyAlignment="1">
      <alignment horizontal="justify" vertical="center" wrapText="1"/>
    </xf>
    <xf numFmtId="0" fontId="27" fillId="0" borderId="13" xfId="0" applyFont="1" applyBorder="1" applyAlignment="1">
      <alignment horizontal="center" vertical="center"/>
    </xf>
    <xf numFmtId="170" fontId="27" fillId="0" borderId="13" xfId="7" applyNumberFormat="1" applyFont="1" applyBorder="1" applyAlignment="1">
      <alignment horizontal="center" vertical="center"/>
    </xf>
    <xf numFmtId="0" fontId="27" fillId="0" borderId="13" xfId="0" applyFont="1" applyBorder="1" applyAlignment="1">
      <alignment horizontal="center" vertical="center" wrapText="1"/>
    </xf>
    <xf numFmtId="0" fontId="28" fillId="0" borderId="0" xfId="0" applyFont="1" applyBorder="1"/>
    <xf numFmtId="169" fontId="9" fillId="0" borderId="13" xfId="0" applyNumberFormat="1" applyFont="1" applyFill="1" applyBorder="1" applyAlignment="1">
      <alignment horizontal="center"/>
    </xf>
    <xf numFmtId="6" fontId="9" fillId="0" borderId="13" xfId="0" applyNumberFormat="1" applyFont="1" applyFill="1" applyBorder="1" applyAlignment="1">
      <alignment horizontal="center"/>
    </xf>
    <xf numFmtId="168" fontId="8" fillId="0" borderId="13" xfId="0" applyNumberFormat="1" applyFont="1" applyFill="1" applyBorder="1" applyAlignment="1">
      <alignment horizontal="center" vertical="center" wrapText="1"/>
    </xf>
    <xf numFmtId="168" fontId="9" fillId="0" borderId="13" xfId="0" applyNumberFormat="1" applyFont="1" applyFill="1" applyBorder="1" applyAlignment="1">
      <alignment horizontal="center"/>
    </xf>
    <xf numFmtId="168" fontId="7" fillId="0" borderId="13" xfId="0" applyNumberFormat="1" applyFont="1" applyFill="1" applyBorder="1" applyAlignment="1">
      <alignment horizontal="center"/>
    </xf>
    <xf numFmtId="168" fontId="7" fillId="0" borderId="16" xfId="0" applyNumberFormat="1" applyFont="1" applyBorder="1" applyAlignment="1">
      <alignment horizontal="center"/>
    </xf>
    <xf numFmtId="168" fontId="7" fillId="0" borderId="10" xfId="0" applyNumberFormat="1" applyFont="1" applyBorder="1" applyAlignment="1">
      <alignment horizontal="center"/>
    </xf>
    <xf numFmtId="4" fontId="8" fillId="0" borderId="16" xfId="0" applyNumberFormat="1" applyFont="1" applyBorder="1" applyAlignment="1">
      <alignment horizontal="center" vertical="center" wrapText="1"/>
    </xf>
    <xf numFmtId="4" fontId="8" fillId="0" borderId="10" xfId="0" applyNumberFormat="1" applyFont="1" applyBorder="1" applyAlignment="1">
      <alignment horizontal="center" vertical="center" wrapText="1"/>
    </xf>
    <xf numFmtId="168" fontId="8" fillId="0" borderId="16" xfId="0" applyNumberFormat="1" applyFont="1" applyFill="1" applyBorder="1" applyAlignment="1">
      <alignment horizontal="center" wrapText="1"/>
    </xf>
    <xf numFmtId="168" fontId="8" fillId="0" borderId="10" xfId="0" applyNumberFormat="1" applyFont="1" applyFill="1" applyBorder="1" applyAlignment="1">
      <alignment horizontal="center" wrapText="1"/>
    </xf>
    <xf numFmtId="166" fontId="5" fillId="0" borderId="13" xfId="2" applyNumberFormat="1" applyFont="1" applyFill="1" applyBorder="1" applyAlignment="1">
      <alignment horizontal="center" vertical="center" wrapText="1"/>
    </xf>
    <xf numFmtId="166" fontId="5" fillId="0" borderId="16" xfId="2" applyNumberFormat="1" applyFont="1" applyFill="1" applyBorder="1" applyAlignment="1">
      <alignment horizontal="center" vertical="center" wrapText="1"/>
    </xf>
    <xf numFmtId="168" fontId="7" fillId="0" borderId="16" xfId="0" applyNumberFormat="1" applyFont="1" applyFill="1" applyBorder="1" applyAlignment="1">
      <alignment horizontal="center"/>
    </xf>
    <xf numFmtId="168" fontId="7" fillId="0" borderId="10" xfId="0" applyNumberFormat="1" applyFont="1" applyFill="1" applyBorder="1" applyAlignment="1">
      <alignment horizontal="center"/>
    </xf>
    <xf numFmtId="0" fontId="4" fillId="0" borderId="13" xfId="0" applyFont="1" applyBorder="1" applyAlignment="1">
      <alignment horizontal="justify" vertical="center" wrapText="1"/>
    </xf>
    <xf numFmtId="0" fontId="8" fillId="0" borderId="13" xfId="0" applyFont="1" applyBorder="1" applyAlignment="1">
      <alignment horizontal="justify" vertical="center" wrapText="1"/>
    </xf>
    <xf numFmtId="0" fontId="21" fillId="0" borderId="16" xfId="0" applyFont="1" applyBorder="1" applyAlignment="1">
      <alignment horizontal="left" vertical="top" wrapText="1"/>
    </xf>
    <xf numFmtId="0" fontId="21" fillId="0" borderId="15" xfId="0" applyFont="1" applyBorder="1" applyAlignment="1">
      <alignment horizontal="left" vertical="top" wrapText="1"/>
    </xf>
    <xf numFmtId="0" fontId="21" fillId="0" borderId="10" xfId="0" applyFont="1" applyBorder="1" applyAlignment="1">
      <alignment horizontal="left" vertical="top" wrapText="1"/>
    </xf>
    <xf numFmtId="0" fontId="4" fillId="0" borderId="13" xfId="0" applyFont="1" applyBorder="1" applyAlignment="1">
      <alignment horizontal="center" vertical="center" wrapText="1"/>
    </xf>
    <xf numFmtId="0" fontId="4" fillId="0" borderId="16" xfId="0" applyFont="1" applyBorder="1" applyAlignment="1">
      <alignment horizontal="center" vertical="center" wrapText="1"/>
    </xf>
    <xf numFmtId="0" fontId="21" fillId="0" borderId="13" xfId="0" applyFont="1" applyBorder="1" applyAlignment="1">
      <alignment horizontal="center" vertical="center" wrapText="1"/>
    </xf>
    <xf numFmtId="0" fontId="4" fillId="0" borderId="14"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21"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3" xfId="0" applyFont="1" applyBorder="1" applyAlignment="1">
      <alignment horizontal="center" vertical="center"/>
    </xf>
    <xf numFmtId="0" fontId="9" fillId="0" borderId="16" xfId="0" applyFont="1" applyBorder="1" applyAlignment="1">
      <alignment horizontal="center" vertical="center"/>
    </xf>
    <xf numFmtId="0" fontId="9" fillId="0" borderId="15" xfId="0" applyFont="1" applyBorder="1" applyAlignment="1">
      <alignment horizontal="center" vertical="center"/>
    </xf>
    <xf numFmtId="0" fontId="9" fillId="0" borderId="10" xfId="0" applyFont="1" applyBorder="1" applyAlignment="1">
      <alignment horizontal="center" vertical="center"/>
    </xf>
    <xf numFmtId="0" fontId="7" fillId="0" borderId="0" xfId="0" applyFont="1" applyAlignment="1">
      <alignment horizontal="left" vertical="top" wrapText="1"/>
    </xf>
    <xf numFmtId="0" fontId="12" fillId="0" borderId="13" xfId="0" applyFont="1" applyBorder="1" applyAlignment="1">
      <alignment horizontal="left" vertical="center" wrapText="1"/>
    </xf>
    <xf numFmtId="0" fontId="12" fillId="0" borderId="13" xfId="0" applyFont="1" applyBorder="1" applyAlignment="1">
      <alignment horizontal="center" vertical="center" wrapText="1"/>
    </xf>
    <xf numFmtId="0" fontId="14" fillId="0" borderId="0" xfId="0" applyFont="1" applyAlignment="1">
      <alignment horizontal="left" vertical="center" wrapText="1"/>
    </xf>
    <xf numFmtId="166" fontId="5" fillId="3" borderId="13" xfId="2" applyNumberFormat="1" applyFont="1" applyFill="1" applyBorder="1" applyAlignment="1">
      <alignment horizontal="left" vertical="center" wrapText="1"/>
    </xf>
    <xf numFmtId="0" fontId="0" fillId="0" borderId="0" xfId="0" applyBorder="1" applyAlignment="1">
      <alignment horizontal="left" vertical="top"/>
    </xf>
    <xf numFmtId="166" fontId="5" fillId="2" borderId="13" xfId="2" applyNumberFormat="1" applyFont="1" applyFill="1" applyBorder="1" applyAlignment="1">
      <alignment horizontal="left" vertical="top" wrapText="1"/>
    </xf>
    <xf numFmtId="166" fontId="5" fillId="2" borderId="14" xfId="2" applyNumberFormat="1" applyFont="1" applyFill="1" applyBorder="1" applyAlignment="1">
      <alignment horizontal="left" vertical="center" wrapText="1"/>
    </xf>
    <xf numFmtId="166" fontId="5" fillId="2" borderId="12" xfId="2" applyNumberFormat="1" applyFont="1" applyFill="1" applyBorder="1" applyAlignment="1">
      <alignment horizontal="left" vertical="center" wrapText="1"/>
    </xf>
    <xf numFmtId="170" fontId="5" fillId="2" borderId="13" xfId="7" applyNumberFormat="1" applyFont="1" applyFill="1" applyBorder="1" applyAlignment="1">
      <alignment horizontal="center" vertical="top" wrapText="1"/>
    </xf>
    <xf numFmtId="166" fontId="5" fillId="2" borderId="13" xfId="2" applyNumberFormat="1" applyFont="1" applyFill="1" applyBorder="1" applyAlignment="1">
      <alignment horizontal="center" vertical="top" wrapText="1"/>
    </xf>
    <xf numFmtId="166" fontId="5" fillId="2" borderId="0" xfId="2" applyNumberFormat="1" applyFont="1" applyFill="1" applyBorder="1" applyAlignment="1">
      <alignment horizontal="center" vertical="top" wrapText="1"/>
    </xf>
    <xf numFmtId="0" fontId="16" fillId="4" borderId="13" xfId="0" applyFont="1" applyFill="1" applyBorder="1" applyAlignment="1">
      <alignment horizontal="center" vertical="center" wrapText="1"/>
    </xf>
    <xf numFmtId="166" fontId="5" fillId="2" borderId="14" xfId="2" applyNumberFormat="1" applyFont="1" applyFill="1" applyBorder="1" applyAlignment="1">
      <alignment horizontal="left" vertical="top" wrapText="1"/>
    </xf>
    <xf numFmtId="166" fontId="5" fillId="2" borderId="11" xfId="2" applyNumberFormat="1" applyFont="1" applyFill="1" applyBorder="1" applyAlignment="1">
      <alignment horizontal="left" vertical="top" wrapText="1"/>
    </xf>
    <xf numFmtId="166" fontId="5" fillId="2" borderId="12" xfId="2" applyNumberFormat="1" applyFont="1" applyFill="1" applyBorder="1" applyAlignment="1">
      <alignment horizontal="left" vertical="top" wrapText="1"/>
    </xf>
    <xf numFmtId="0" fontId="15" fillId="4" borderId="14"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11" fillId="0" borderId="16"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15" fillId="4" borderId="13" xfId="0" applyFont="1" applyFill="1" applyBorder="1" applyAlignment="1">
      <alignment horizontal="center" vertical="center" wrapText="1"/>
    </xf>
    <xf numFmtId="0" fontId="11" fillId="5" borderId="13" xfId="0" applyFont="1" applyFill="1" applyBorder="1" applyAlignment="1">
      <alignment horizontal="justify" vertical="center" wrapText="1"/>
    </xf>
    <xf numFmtId="170" fontId="0" fillId="0" borderId="14" xfId="0" applyNumberFormat="1"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17" fillId="0" borderId="14"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13" xfId="0" applyFont="1" applyBorder="1" applyAlignment="1">
      <alignment horizontal="center" vertical="center" wrapText="1"/>
    </xf>
    <xf numFmtId="0" fontId="17" fillId="0" borderId="13" xfId="0" applyFont="1" applyBorder="1" applyAlignment="1">
      <alignment horizontal="center" vertical="center"/>
    </xf>
    <xf numFmtId="170" fontId="19" fillId="0" borderId="14" xfId="0" applyNumberFormat="1"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170" fontId="0" fillId="0" borderId="14" xfId="0" applyNumberFormat="1"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10" fillId="0" borderId="13" xfId="0" applyFont="1" applyBorder="1" applyAlignment="1">
      <alignment horizontal="justify" vertical="center" wrapText="1"/>
    </xf>
    <xf numFmtId="0" fontId="20" fillId="0" borderId="13" xfId="0" applyFont="1" applyBorder="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7"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2" fillId="0" borderId="0" xfId="0" applyFont="1" applyAlignment="1">
      <alignment horizontal="left" vertical="top"/>
    </xf>
  </cellXfs>
  <cellStyles count="8">
    <cellStyle name="Millares" xfId="7" builtinId="3"/>
    <cellStyle name="Millares 2" xfId="6"/>
    <cellStyle name="Millares 3" xfId="4"/>
    <cellStyle name="Moneda 2" xfId="2"/>
    <cellStyle name="Normal" xfId="0" builtinId="0"/>
    <cellStyle name="Normal 2" xfId="5"/>
    <cellStyle name="Normal 3" xfId="1"/>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123825</xdr:colOff>
      <xdr:row>100</xdr:row>
      <xdr:rowOff>390525</xdr:rowOff>
    </xdr:from>
    <xdr:to>
      <xdr:col>7</xdr:col>
      <xdr:colOff>95250</xdr:colOff>
      <xdr:row>124</xdr:row>
      <xdr:rowOff>76200</xdr:rowOff>
    </xdr:to>
    <xdr:sp macro="" textlink="">
      <xdr:nvSpPr>
        <xdr:cNvPr id="2" name="1 CuadroTexto"/>
        <xdr:cNvSpPr txBox="1"/>
      </xdr:nvSpPr>
      <xdr:spPr>
        <a:xfrm>
          <a:off x="123825" y="22802850"/>
          <a:ext cx="5972175" cy="381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t>NOTAS</a:t>
          </a:r>
          <a:r>
            <a:rPr lang="es-CO" sz="1100" b="1" baseline="0"/>
            <a:t> DEL EVALUADOR:</a:t>
          </a:r>
        </a:p>
        <a:p>
          <a:endParaRPr lang="es-CO" sz="1100" baseline="0"/>
        </a:p>
        <a:p>
          <a:pPr marL="0" marR="0" indent="0"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  </a:t>
          </a:r>
          <a:r>
            <a:rPr lang="es-CO" sz="1100" baseline="0"/>
            <a:t>De conformidad con el pliego de condiciones y sus adendas, se deja constancia que lo contenido en esta evaluación es el deber ser de la oferta económica, tomando como criterio el salario básico ofertado por el proponente. A partir de este ejercicio, se procedió a comparar la oferta económica del proponente en lo pertinente al recurso humano. </a:t>
          </a:r>
        </a:p>
        <a:p>
          <a:pPr marL="0" marR="0" indent="0" defTabSz="914400" eaLnBrk="1" fontAlgn="auto" latinLnBrk="0" hangingPunct="1">
            <a:lnSpc>
              <a:spcPct val="100000"/>
            </a:lnSpc>
            <a:spcBef>
              <a:spcPts val="0"/>
            </a:spcBef>
            <a:spcAft>
              <a:spcPts val="0"/>
            </a:spcAft>
            <a:buClrTx/>
            <a:buSzTx/>
            <a:buFontTx/>
            <a:buNone/>
            <a:tabLst/>
            <a:defRPr/>
          </a:pPr>
          <a:endParaRPr lang="es-CO" sz="1100" baseline="0"/>
        </a:p>
        <a:p>
          <a:pPr marL="0" marR="0" indent="0"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  El</a:t>
          </a:r>
          <a:r>
            <a:rPr lang="es-CO" sz="1100" baseline="0">
              <a:solidFill>
                <a:schemeClr val="dk1"/>
              </a:solidFill>
              <a:effectLst/>
              <a:latin typeface="+mn-lt"/>
              <a:ea typeface="+mn-ea"/>
              <a:cs typeface="+mn-cs"/>
            </a:rPr>
            <a:t> proponente presentó error en  la sumatoria para determinar el valor por concepto de subsidio de transporte, en la vigencia  de 01 de Mayo a 31 de Diciembre de 2015, y por ende  los valores de las vigencias siguientes  se encuentran en error.</a:t>
          </a:r>
          <a:endParaRPr lang="es-CO">
            <a:effectLst/>
          </a:endParaRPr>
        </a:p>
        <a:p>
          <a:endParaRPr lang="es-CO" sz="1100" baseline="0">
            <a:solidFill>
              <a:sysClr val="windowText" lastClr="000000"/>
            </a:solidFill>
          </a:endParaRPr>
        </a:p>
        <a:p>
          <a:pPr algn="l"/>
          <a:r>
            <a:rPr lang="es-CO" sz="1100">
              <a:solidFill>
                <a:sysClr val="windowText" lastClr="000000"/>
              </a:solidFill>
            </a:rPr>
            <a:t>.  De conformidad con lo establecido en la nota No. 2 del Anexo No. 10 contenida en el pliego de condiciones que reza: " Si dentro de la propuesta económica el proponente incluye el IVA estando el hecho excluido del régimen del impuesto a las ventas, su propuesta incurrirá en causal de rechazo", SE RECHAZA LA PROPUESTA, por cuanto el proponente calculó el IVA sobre el servicio que presta la operario de medio tiempo ubicado en el municipio de Leticia, así: </a:t>
          </a:r>
        </a:p>
        <a:p>
          <a:pPr algn="l"/>
          <a:r>
            <a:rPr lang="es-CO" sz="1100">
              <a:solidFill>
                <a:sysClr val="windowText" lastClr="000000"/>
              </a:solidFill>
            </a:rPr>
            <a:t>1. El literal b) del artículo 270 de la Ley 223 de 1995, establece que será excluído del  impuesto sobre las ventas en el Departamento del Amazonas en el caso de "b) La prestación de servicios realizados en él territorio del Departamento del Amazonas."</a:t>
          </a:r>
        </a:p>
        <a:p>
          <a:pPr algn="l"/>
          <a:r>
            <a:rPr lang="es-CO" sz="1100">
              <a:solidFill>
                <a:sysClr val="windowText" lastClr="000000"/>
              </a:solidFill>
            </a:rPr>
            <a:t>2. El Icetex cuenta con punto de atención en el municipio de Leticia (Amazonas), lugar donde el proponente adjudicatario prestará el SERVICIO de aseo a través de una operario de medio tiempo. </a:t>
          </a:r>
        </a:p>
        <a:p>
          <a:endParaRPr lang="es-CO" sz="1100">
            <a:solidFill>
              <a:sysClr val="windowText" lastClr="000000"/>
            </a:solidFill>
          </a:endParaRPr>
        </a:p>
        <a:p>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200025</xdr:colOff>
      <xdr:row>15</xdr:row>
      <xdr:rowOff>95250</xdr:rowOff>
    </xdr:from>
    <xdr:to>
      <xdr:col>2</xdr:col>
      <xdr:colOff>952500</xdr:colOff>
      <xdr:row>28</xdr:row>
      <xdr:rowOff>57150</xdr:rowOff>
    </xdr:to>
    <xdr:sp macro="" textlink="">
      <xdr:nvSpPr>
        <xdr:cNvPr id="2" name="1 CuadroTexto"/>
        <xdr:cNvSpPr txBox="1"/>
      </xdr:nvSpPr>
      <xdr:spPr>
        <a:xfrm>
          <a:off x="200025" y="7143750"/>
          <a:ext cx="6934200" cy="2066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t>NOTA</a:t>
          </a:r>
          <a:r>
            <a:rPr lang="es-CO" sz="1100" b="1" baseline="0"/>
            <a:t> DEL EVALUADOR:</a:t>
          </a:r>
        </a:p>
        <a:p>
          <a:r>
            <a:rPr lang="es-CO" sz="1100" b="1" baseline="0"/>
            <a:t> . </a:t>
          </a:r>
          <a:r>
            <a:rPr lang="es-CO" sz="1100" b="1" baseline="0">
              <a:solidFill>
                <a:schemeClr val="dk1"/>
              </a:solidFill>
              <a:effectLst/>
              <a:latin typeface="+mn-lt"/>
              <a:ea typeface="+mn-ea"/>
              <a:cs typeface="+mn-cs"/>
            </a:rPr>
            <a:t>El proponente Conserjes Inmbobiliarios Ltda NO aplico IVA para el suministro de los insumos y productos destinados a Leticia (Amazonas), aceptandose bajo el entendimiento que el proponente realizará la compra de los insumos en el Departamento del Amazonas.   </a:t>
          </a:r>
          <a:endParaRPr lang="es-CO">
            <a:effectLst/>
          </a:endParaRPr>
        </a:p>
        <a:p>
          <a:r>
            <a:rPr lang="es-CO" sz="1100" b="1" baseline="0">
              <a:solidFill>
                <a:schemeClr val="dk1"/>
              </a:solidFill>
              <a:effectLst/>
              <a:latin typeface="+mn-lt"/>
              <a:ea typeface="+mn-ea"/>
              <a:cs typeface="+mn-cs"/>
            </a:rPr>
            <a:t>Respecto al suministro  de elementos de aseo y cafetería a San Andrés Islas, el proponente cumplió con las normativa tributaria vigente.  </a:t>
          </a:r>
          <a:endParaRPr lang="es-CO">
            <a:effectLst/>
          </a:endParaRPr>
        </a:p>
        <a:p>
          <a:endParaRPr lang="es-CO" sz="1100" b="1" baseline="0"/>
        </a:p>
        <a:p>
          <a:r>
            <a:rPr lang="es-CO" sz="1100" b="1" baseline="0"/>
            <a:t>.  Existen variaciones decimales de aproximación numérica entre la propuesta de Conserjes Inmobiliarios Ltda  y la propuesta desarrollada por la Entidad.</a:t>
          </a:r>
        </a:p>
        <a:p>
          <a:endParaRPr lang="es-CO" sz="1100" b="1" baseline="0"/>
        </a:p>
        <a:p>
          <a:pPr marL="0" marR="0" indent="0" defTabSz="914400" eaLnBrk="1" fontAlgn="auto" latinLnBrk="0" hangingPunct="1">
            <a:lnSpc>
              <a:spcPct val="100000"/>
            </a:lnSpc>
            <a:spcBef>
              <a:spcPts val="0"/>
            </a:spcBef>
            <a:spcAft>
              <a:spcPts val="0"/>
            </a:spcAft>
            <a:buClrTx/>
            <a:buSzTx/>
            <a:buFontTx/>
            <a:buNone/>
            <a:tabLst/>
            <a:defRPr/>
          </a:pPr>
          <a:r>
            <a:rPr lang="es-CO" sz="1100" b="1" baseline="0">
              <a:solidFill>
                <a:schemeClr val="dk1"/>
              </a:solidFill>
              <a:effectLst/>
              <a:latin typeface="+mn-lt"/>
              <a:ea typeface="+mn-ea"/>
              <a:cs typeface="+mn-cs"/>
            </a:rPr>
            <a:t>.  </a:t>
          </a:r>
          <a:r>
            <a:rPr lang="es-CO" sz="1100" baseline="0">
              <a:solidFill>
                <a:schemeClr val="dk1"/>
              </a:solidFill>
              <a:effectLst/>
              <a:latin typeface="+mn-lt"/>
              <a:ea typeface="+mn-ea"/>
              <a:cs typeface="+mn-cs"/>
            </a:rPr>
            <a:t>De conformidad con el pliego de condiciones y sus adendas, se deja constancia que lo contenido en esta evaluación es el deber ser de la oferta económica, tomando como criterio el valor bruto unitario ofertado por el proponente. A partir de este ejercicio, se procedió a comparar la oferta económica del proponente en lo pertinente al recurso humano. </a:t>
          </a:r>
          <a:endParaRPr lang="es-CO">
            <a:effectLst/>
          </a:endParaRPr>
        </a:p>
        <a:p>
          <a:endParaRPr lang="es-CO" sz="1100"/>
        </a:p>
        <a:p>
          <a:endParaRPr lang="es-CO"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742950</xdr:colOff>
      <xdr:row>55</xdr:row>
      <xdr:rowOff>123825</xdr:rowOff>
    </xdr:from>
    <xdr:to>
      <xdr:col>11</xdr:col>
      <xdr:colOff>200025</xdr:colOff>
      <xdr:row>69</xdr:row>
      <xdr:rowOff>123825</xdr:rowOff>
    </xdr:to>
    <xdr:sp macro="" textlink="">
      <xdr:nvSpPr>
        <xdr:cNvPr id="2" name="1 CuadroTexto"/>
        <xdr:cNvSpPr txBox="1"/>
      </xdr:nvSpPr>
      <xdr:spPr>
        <a:xfrm>
          <a:off x="742950" y="27060525"/>
          <a:ext cx="7800975" cy="266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solidFill>
                <a:schemeClr val="dk1"/>
              </a:solidFill>
              <a:effectLst/>
              <a:latin typeface="+mn-lt"/>
              <a:ea typeface="+mn-ea"/>
              <a:cs typeface="+mn-cs"/>
            </a:rPr>
            <a:t>NOTA</a:t>
          </a:r>
          <a:r>
            <a:rPr lang="es-CO" sz="1100" b="1" baseline="0">
              <a:solidFill>
                <a:schemeClr val="dk1"/>
              </a:solidFill>
              <a:effectLst/>
              <a:latin typeface="+mn-lt"/>
              <a:ea typeface="+mn-ea"/>
              <a:cs typeface="+mn-cs"/>
            </a:rPr>
            <a:t> DEL EVALUADOR:</a:t>
          </a:r>
          <a:endParaRPr lang="es-CO">
            <a:effectLst/>
          </a:endParaRPr>
        </a:p>
        <a:p>
          <a:r>
            <a:rPr lang="es-CO" sz="1100" b="1" baseline="0">
              <a:solidFill>
                <a:schemeClr val="dk1"/>
              </a:solidFill>
              <a:effectLst/>
              <a:latin typeface="+mn-lt"/>
              <a:ea typeface="+mn-ea"/>
              <a:cs typeface="+mn-cs"/>
            </a:rPr>
            <a:t> . El proponente Conserjes Inmbobiliarios Ltda,  elaboró correctamente los presupuestos de las vigencias  para el servicio de fumigación en la Entidad, ya que NO aplico IVA para este servicio en las ciudades de San Andres y Providencia y Leticia Amazonas.</a:t>
          </a:r>
        </a:p>
        <a:p>
          <a:endParaRPr lang="es-CO">
            <a:effectLst/>
          </a:endParaRPr>
        </a:p>
        <a:p>
          <a:r>
            <a:rPr lang="es-CO" sz="1100" b="1" baseline="0">
              <a:solidFill>
                <a:schemeClr val="dk1"/>
              </a:solidFill>
              <a:effectLst/>
              <a:latin typeface="+mn-lt"/>
              <a:ea typeface="+mn-ea"/>
              <a:cs typeface="+mn-cs"/>
            </a:rPr>
            <a:t>.  Existen variaciones decimales de aproximación numérica entre la propuesta de Conserjes Inmobiliarios Ltda  y la propuesta desarrollada por la Entidad.</a:t>
          </a:r>
        </a:p>
        <a:p>
          <a:endParaRPr lang="es-CO" sz="1100" b="1" baseline="0">
            <a:solidFill>
              <a:schemeClr val="dk1"/>
            </a:solidFill>
            <a:effectLst/>
            <a:latin typeface="+mn-lt"/>
            <a:ea typeface="+mn-ea"/>
            <a:cs typeface="+mn-cs"/>
          </a:endParaRPr>
        </a:p>
        <a:p>
          <a:r>
            <a:rPr lang="es-CO" sz="1100" b="1" baseline="0">
              <a:solidFill>
                <a:schemeClr val="dk1"/>
              </a:solidFill>
              <a:effectLst/>
              <a:latin typeface="+mn-lt"/>
              <a:ea typeface="+mn-ea"/>
              <a:cs typeface="+mn-cs"/>
            </a:rPr>
            <a:t>. El proponente Conserjes Inmbobiliarios Ltda  cumplió con las normativa tributaria vigente.  </a:t>
          </a:r>
          <a:endParaRPr lang="es-CO">
            <a:effectLst/>
          </a:endParaRPr>
        </a:p>
        <a:p>
          <a:r>
            <a:rPr lang="es-CO" sz="1100" b="1" baseline="0">
              <a:solidFill>
                <a:schemeClr val="dk1"/>
              </a:solidFill>
              <a:effectLst/>
              <a:latin typeface="+mn-lt"/>
              <a:ea typeface="+mn-ea"/>
              <a:cs typeface="+mn-cs"/>
            </a:rPr>
            <a:t>.  Existen variaciones decimales de aproximación numérica entre la propuesta de Conserjes Inmobiliarios Ltda  y la propuesta desarrollada por la Entidad.</a:t>
          </a:r>
          <a:endParaRPr lang="es-CO">
            <a:effectLst/>
          </a:endParaRPr>
        </a:p>
        <a:p>
          <a:pPr eaLnBrk="1" fontAlgn="auto" latinLnBrk="0" hangingPunct="1"/>
          <a:r>
            <a:rPr lang="es-CO" sz="1100" b="1" baseline="0">
              <a:solidFill>
                <a:schemeClr val="dk1"/>
              </a:solidFill>
              <a:effectLst/>
              <a:latin typeface="+mn-lt"/>
              <a:ea typeface="+mn-ea"/>
              <a:cs typeface="+mn-cs"/>
            </a:rPr>
            <a:t>.  De conformidad con el pliego de condiciones y sus adendas, se deja constancia que lo contenido en esta evaluación es el deber ser de la oferta económica, tomando como base los valores bruto unitario ofertado por el proponente. A partir de este ejercicio, se procedió a comparar la oferta económica del proponente en lo pertinente al servicio de fumigación. </a:t>
          </a:r>
          <a:endParaRPr lang="es-CO" b="1">
            <a:effectLst/>
          </a:endParaRPr>
        </a:p>
        <a:p>
          <a:endParaRPr lang="es-CO">
            <a:effectLst/>
          </a:endParaRPr>
        </a:p>
        <a:p>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36</xdr:row>
      <xdr:rowOff>154781</xdr:rowOff>
    </xdr:from>
    <xdr:to>
      <xdr:col>12</xdr:col>
      <xdr:colOff>750094</xdr:colOff>
      <xdr:row>47</xdr:row>
      <xdr:rowOff>166687</xdr:rowOff>
    </xdr:to>
    <xdr:sp macro="" textlink="">
      <xdr:nvSpPr>
        <xdr:cNvPr id="2" name="1 CuadroTexto"/>
        <xdr:cNvSpPr txBox="1"/>
      </xdr:nvSpPr>
      <xdr:spPr>
        <a:xfrm>
          <a:off x="0" y="33992344"/>
          <a:ext cx="9894094" cy="2369343"/>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solidFill>
                <a:sysClr val="windowText" lastClr="000000"/>
              </a:solidFill>
            </a:rPr>
            <a:t>NOTA DEL EVALUADOR:</a:t>
          </a:r>
        </a:p>
        <a:p>
          <a:endParaRPr lang="es-CO" sz="1100">
            <a:solidFill>
              <a:srgbClr val="FF0000"/>
            </a:solidFill>
          </a:endParaRPr>
        </a:p>
        <a:p>
          <a:r>
            <a:rPr lang="es-CO" sz="1100">
              <a:solidFill>
                <a:schemeClr val="dk1"/>
              </a:solidFill>
              <a:effectLst/>
              <a:latin typeface="+mn-lt"/>
              <a:ea typeface="+mn-ea"/>
              <a:cs typeface="+mn-cs"/>
            </a:rPr>
            <a:t>.  De conformidad con lo establecido en la nota No. 2 del Anexo No. 10 contenida en el pliego de condiciones que reza: " Si dentro de la propuesta económica el proponente incluye el IVA estando el hecho excluido del régimen del impuesto a las ventas, su propuesta incurrirá en causal de rechazo", SE RECHAZA LA PROPUESTA, por cuanto el proponente calculó el IVA sobre el servicio de alquiler de equipos y elementos a prestar en el municipio de Leticia, así: </a:t>
          </a:r>
          <a:endParaRPr lang="es-CO">
            <a:effectLst/>
          </a:endParaRPr>
        </a:p>
        <a:p>
          <a:r>
            <a:rPr lang="es-CO" sz="1100">
              <a:solidFill>
                <a:schemeClr val="dk1"/>
              </a:solidFill>
              <a:effectLst/>
              <a:latin typeface="+mn-lt"/>
              <a:ea typeface="+mn-ea"/>
              <a:cs typeface="+mn-cs"/>
            </a:rPr>
            <a:t>1. El literal b) del artículo 270 de la Ley 223 de 1995, establece que será excluído del  impuesto sobre las ventas en el Departamento del Amazonas en el caso de "b) La prestación de servicios realizados en él territorio del Departamento del Amazonas."</a:t>
          </a:r>
          <a:endParaRPr lang="es-CO">
            <a:effectLst/>
          </a:endParaRPr>
        </a:p>
        <a:p>
          <a:r>
            <a:rPr lang="es-CO" sz="1100">
              <a:solidFill>
                <a:schemeClr val="dk1"/>
              </a:solidFill>
              <a:effectLst/>
              <a:latin typeface="+mn-lt"/>
              <a:ea typeface="+mn-ea"/>
              <a:cs typeface="+mn-cs"/>
            </a:rPr>
            <a:t>2. El Icetex cuenta con punto de atención en el municipio de Leticia (Amazonas), lugar donde el proponente adjudicatario prestará el SERVICIO de alquiler.</a:t>
          </a:r>
          <a:endParaRPr lang="es-CO">
            <a:effectLst/>
          </a:endParaRPr>
        </a:p>
        <a:p>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10</xdr:row>
      <xdr:rowOff>123826</xdr:rowOff>
    </xdr:from>
    <xdr:to>
      <xdr:col>5</xdr:col>
      <xdr:colOff>5086350</xdr:colOff>
      <xdr:row>18</xdr:row>
      <xdr:rowOff>161926</xdr:rowOff>
    </xdr:to>
    <xdr:sp macro="" textlink="">
      <xdr:nvSpPr>
        <xdr:cNvPr id="2" name="1 CuadroTexto"/>
        <xdr:cNvSpPr txBox="1"/>
      </xdr:nvSpPr>
      <xdr:spPr>
        <a:xfrm>
          <a:off x="0" y="1866901"/>
          <a:ext cx="9525000" cy="156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t>NOTA DEL EVALUADOR:</a:t>
          </a:r>
        </a:p>
        <a:p>
          <a:endParaRPr lang="es-CO" sz="1100"/>
        </a:p>
        <a:p>
          <a:r>
            <a:rPr lang="es-CO" sz="1100"/>
            <a:t>. El</a:t>
          </a:r>
          <a:r>
            <a:rPr lang="es-CO" sz="1100" baseline="0"/>
            <a:t> anexo No 10 - Propuesta Económica del Proponente Conserjes Inmobiliarios Ltda, no se encuentra totalizada, al respecto la Entidad totalizó la propuesta presentada, y de acuerdo al calculo realizado el valor de la propuesta es : </a:t>
          </a:r>
          <a:r>
            <a:rPr lang="es-CO" sz="1100" b="1" baseline="0"/>
            <a:t>MIL QUINIENTOS  OCHENTA Y CINCO MILLONES CIENTO DOCE MIL CIENTO NOVENTA Y UN PESOS  M/CTE (1.585.112.191,31). </a:t>
          </a:r>
        </a:p>
        <a:p>
          <a:endParaRPr lang="es-CO" sz="1100" b="1" baseline="0"/>
        </a:p>
        <a:p>
          <a:endParaRPr lang="es-CO" sz="1100" b="1"/>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1"/>
  <sheetViews>
    <sheetView topLeftCell="A100" zoomScaleNormal="100" workbookViewId="0">
      <selection activeCell="I116" sqref="I116"/>
    </sheetView>
  </sheetViews>
  <sheetFormatPr baseColWidth="10" defaultRowHeight="12.75" x14ac:dyDescent="0.2"/>
  <cols>
    <col min="1" max="1" width="21.42578125" style="1" customWidth="1"/>
    <col min="2" max="7" width="11.42578125" style="1"/>
    <col min="8" max="8" width="20.140625" style="1" customWidth="1"/>
    <col min="9" max="11" width="12.5703125" style="1" bestFit="1" customWidth="1"/>
    <col min="12" max="12" width="11.7109375" style="1" bestFit="1" customWidth="1"/>
    <col min="13" max="14" width="12.5703125" style="1" bestFit="1" customWidth="1"/>
    <col min="15" max="16384" width="11.42578125" style="1"/>
  </cols>
  <sheetData>
    <row r="1" spans="1:9" ht="20.25" customHeight="1" x14ac:dyDescent="0.2">
      <c r="A1" s="156" t="s">
        <v>0</v>
      </c>
      <c r="B1" s="157"/>
      <c r="C1" s="157"/>
      <c r="D1" s="147" t="s">
        <v>8</v>
      </c>
      <c r="E1" s="138" t="s">
        <v>190</v>
      </c>
      <c r="F1" s="138" t="s">
        <v>207</v>
      </c>
      <c r="G1" s="138" t="s">
        <v>193</v>
      </c>
      <c r="H1" s="138" t="s">
        <v>189</v>
      </c>
      <c r="I1" s="7"/>
    </row>
    <row r="2" spans="1:9" ht="15.75" customHeight="1" x14ac:dyDescent="0.2">
      <c r="A2" s="158"/>
      <c r="B2" s="159"/>
      <c r="C2" s="159"/>
      <c r="D2" s="148"/>
      <c r="E2" s="139"/>
      <c r="F2" s="139"/>
      <c r="G2" s="139"/>
      <c r="H2" s="139"/>
      <c r="I2" s="7"/>
    </row>
    <row r="3" spans="1:9" x14ac:dyDescent="0.2">
      <c r="A3" s="2"/>
      <c r="B3" s="147" t="s">
        <v>2</v>
      </c>
      <c r="C3" s="147"/>
      <c r="D3" s="147">
        <v>16</v>
      </c>
      <c r="E3" s="61"/>
      <c r="F3" s="61"/>
      <c r="G3" s="61"/>
      <c r="H3" s="61"/>
      <c r="I3" s="8"/>
    </row>
    <row r="4" spans="1:9" ht="13.5" customHeight="1" x14ac:dyDescent="0.2">
      <c r="A4" s="147" t="s">
        <v>7</v>
      </c>
      <c r="B4" s="142" t="s">
        <v>13</v>
      </c>
      <c r="C4" s="142"/>
      <c r="D4" s="147"/>
      <c r="E4" s="64">
        <v>644350</v>
      </c>
      <c r="F4" s="64">
        <f>E4*0.1</f>
        <v>64435</v>
      </c>
      <c r="G4" s="64">
        <f>F4*0.16</f>
        <v>10309.6</v>
      </c>
      <c r="H4" s="64">
        <f t="shared" ref="H4:H12" si="0">E4+F4+G4</f>
        <v>719094.6</v>
      </c>
      <c r="I4" s="9"/>
    </row>
    <row r="5" spans="1:9" x14ac:dyDescent="0.2">
      <c r="A5" s="147"/>
      <c r="B5" s="142" t="s">
        <v>14</v>
      </c>
      <c r="C5" s="142"/>
      <c r="D5" s="147"/>
      <c r="E5" s="64">
        <v>74000</v>
      </c>
      <c r="F5" s="64">
        <f>E5*0.1</f>
        <v>7400</v>
      </c>
      <c r="G5" s="64">
        <f>F5*0.16</f>
        <v>1184</v>
      </c>
      <c r="H5" s="64">
        <f t="shared" si="0"/>
        <v>82584</v>
      </c>
      <c r="I5" s="79">
        <f>H5*16</f>
        <v>1321344</v>
      </c>
    </row>
    <row r="6" spans="1:9" x14ac:dyDescent="0.2">
      <c r="A6" s="147"/>
      <c r="B6" s="142" t="s">
        <v>3</v>
      </c>
      <c r="C6" s="142"/>
      <c r="D6" s="147"/>
      <c r="E6" s="64">
        <f>E4+E5</f>
        <v>718350</v>
      </c>
      <c r="F6" s="64">
        <f>F4+F5</f>
        <v>71835</v>
      </c>
      <c r="G6" s="64">
        <f>G4+G5</f>
        <v>11493.6</v>
      </c>
      <c r="H6" s="63">
        <f t="shared" si="0"/>
        <v>801678.6</v>
      </c>
      <c r="I6" s="9"/>
    </row>
    <row r="7" spans="1:9" x14ac:dyDescent="0.2">
      <c r="A7" s="147"/>
      <c r="B7" s="4" t="s">
        <v>15</v>
      </c>
      <c r="C7" s="5">
        <v>0.12</v>
      </c>
      <c r="D7" s="147"/>
      <c r="E7" s="64">
        <f>E4*0.12</f>
        <v>77322</v>
      </c>
      <c r="F7" s="64">
        <f t="shared" ref="F7:F12" si="1">E7*0.1</f>
        <v>7732.2000000000007</v>
      </c>
      <c r="G7" s="64">
        <f t="shared" ref="G7:G12" si="2">F7*0.16</f>
        <v>1237.152</v>
      </c>
      <c r="H7" s="64">
        <f t="shared" si="0"/>
        <v>86291.351999999999</v>
      </c>
      <c r="I7" s="10"/>
    </row>
    <row r="8" spans="1:9" x14ac:dyDescent="0.2">
      <c r="A8" s="147"/>
      <c r="B8" s="4" t="s">
        <v>16</v>
      </c>
      <c r="C8" s="5">
        <v>10.44</v>
      </c>
      <c r="D8" s="147"/>
      <c r="E8" s="64">
        <f>E4*0.01044</f>
        <v>6727.0140000000001</v>
      </c>
      <c r="F8" s="64">
        <f t="shared" si="1"/>
        <v>672.70140000000004</v>
      </c>
      <c r="G8" s="64">
        <f t="shared" si="2"/>
        <v>107.63222400000001</v>
      </c>
      <c r="H8" s="71">
        <f t="shared" si="0"/>
        <v>7507.347624</v>
      </c>
      <c r="I8" s="10"/>
    </row>
    <row r="9" spans="1:9" ht="25.5" x14ac:dyDescent="0.2">
      <c r="A9" s="147"/>
      <c r="B9" s="4" t="s">
        <v>17</v>
      </c>
      <c r="C9" s="5">
        <v>0.04</v>
      </c>
      <c r="D9" s="147"/>
      <c r="E9" s="64">
        <f>E4*0.04</f>
        <v>25774</v>
      </c>
      <c r="F9" s="64">
        <f t="shared" si="1"/>
        <v>2577.4</v>
      </c>
      <c r="G9" s="64">
        <f t="shared" si="2"/>
        <v>412.38400000000001</v>
      </c>
      <c r="H9" s="71">
        <f t="shared" si="0"/>
        <v>28763.784</v>
      </c>
      <c r="I9" s="10"/>
    </row>
    <row r="10" spans="1:9" x14ac:dyDescent="0.2">
      <c r="A10" s="147"/>
      <c r="B10" s="4" t="s">
        <v>18</v>
      </c>
      <c r="C10" s="6" t="s">
        <v>4</v>
      </c>
      <c r="D10" s="147"/>
      <c r="E10" s="64">
        <f>E6*0.0833</f>
        <v>59838.555</v>
      </c>
      <c r="F10" s="64">
        <f t="shared" si="1"/>
        <v>5983.8555000000006</v>
      </c>
      <c r="G10" s="64">
        <f t="shared" si="2"/>
        <v>957.41688000000011</v>
      </c>
      <c r="H10" s="64">
        <f t="shared" si="0"/>
        <v>66779.827380000002</v>
      </c>
      <c r="I10" s="11"/>
    </row>
    <row r="11" spans="1:9" x14ac:dyDescent="0.2">
      <c r="A11" s="147"/>
      <c r="B11" s="4" t="s">
        <v>19</v>
      </c>
      <c r="C11" s="5">
        <v>0.01</v>
      </c>
      <c r="D11" s="147"/>
      <c r="E11" s="64">
        <f>E6*0.01</f>
        <v>7183.5</v>
      </c>
      <c r="F11" s="64">
        <f t="shared" si="1"/>
        <v>718.35</v>
      </c>
      <c r="G11" s="64">
        <f t="shared" si="2"/>
        <v>114.93600000000001</v>
      </c>
      <c r="H11" s="64">
        <f t="shared" si="0"/>
        <v>8016.7860000000001</v>
      </c>
      <c r="I11" s="10"/>
    </row>
    <row r="12" spans="1:9" x14ac:dyDescent="0.2">
      <c r="A12" s="147"/>
      <c r="B12" s="142" t="s">
        <v>20</v>
      </c>
      <c r="C12" s="143" t="s">
        <v>5</v>
      </c>
      <c r="D12" s="147"/>
      <c r="E12" s="134">
        <f>E6*0.0833</f>
        <v>59838.555</v>
      </c>
      <c r="F12" s="134">
        <f t="shared" si="1"/>
        <v>5983.8555000000006</v>
      </c>
      <c r="G12" s="134">
        <f t="shared" si="2"/>
        <v>957.41688000000011</v>
      </c>
      <c r="H12" s="134">
        <f t="shared" si="0"/>
        <v>66779.827380000002</v>
      </c>
      <c r="I12" s="11"/>
    </row>
    <row r="13" spans="1:9" x14ac:dyDescent="0.2">
      <c r="A13" s="147"/>
      <c r="B13" s="142"/>
      <c r="C13" s="143"/>
      <c r="D13" s="147"/>
      <c r="E13" s="135"/>
      <c r="F13" s="135"/>
      <c r="G13" s="135"/>
      <c r="H13" s="135"/>
      <c r="I13" s="11"/>
    </row>
    <row r="14" spans="1:9" x14ac:dyDescent="0.2">
      <c r="A14" s="147"/>
      <c r="B14" s="142" t="s">
        <v>21</v>
      </c>
      <c r="C14" s="143" t="s">
        <v>6</v>
      </c>
      <c r="D14" s="147"/>
      <c r="E14" s="134">
        <f>E4*0.0417</f>
        <v>26869.395</v>
      </c>
      <c r="F14" s="134">
        <f>E14*0.1</f>
        <v>2686.9395000000004</v>
      </c>
      <c r="G14" s="134">
        <f>F14*0.16</f>
        <v>429.91032000000007</v>
      </c>
      <c r="H14" s="134">
        <f>E14+F14+G14</f>
        <v>29986.24482</v>
      </c>
      <c r="I14" s="11"/>
    </row>
    <row r="15" spans="1:9" x14ac:dyDescent="0.2">
      <c r="A15" s="147"/>
      <c r="B15" s="142"/>
      <c r="C15" s="143"/>
      <c r="D15" s="147"/>
      <c r="E15" s="135"/>
      <c r="F15" s="135"/>
      <c r="G15" s="135"/>
      <c r="H15" s="135"/>
      <c r="I15" s="11"/>
    </row>
    <row r="16" spans="1:9" x14ac:dyDescent="0.2">
      <c r="A16" s="147"/>
      <c r="B16" s="150" t="s">
        <v>10</v>
      </c>
      <c r="C16" s="151"/>
      <c r="D16" s="151"/>
      <c r="E16" s="151"/>
      <c r="F16" s="151"/>
      <c r="G16" s="152"/>
      <c r="H16" s="127">
        <f>I16*16</f>
        <v>17532860.307263996</v>
      </c>
      <c r="I16" s="69">
        <f>SUM(H6:H15)</f>
        <v>1095803.7692039998</v>
      </c>
    </row>
    <row r="17" spans="1:10" x14ac:dyDescent="0.2">
      <c r="A17" s="153" t="s">
        <v>9</v>
      </c>
      <c r="B17" s="142" t="s">
        <v>13</v>
      </c>
      <c r="C17" s="142"/>
      <c r="D17" s="149">
        <v>22</v>
      </c>
      <c r="E17" s="64">
        <f>E4/2</f>
        <v>322175</v>
      </c>
      <c r="F17" s="64">
        <f>E17*0.1</f>
        <v>32217.5</v>
      </c>
      <c r="G17" s="64">
        <f>F17*0.16</f>
        <v>5154.8</v>
      </c>
      <c r="H17" s="71">
        <f t="shared" ref="H17:H25" si="3">E17+F17+G17</f>
        <v>359547.3</v>
      </c>
      <c r="I17" s="9"/>
    </row>
    <row r="18" spans="1:10" x14ac:dyDescent="0.2">
      <c r="A18" s="154"/>
      <c r="B18" s="142" t="s">
        <v>14</v>
      </c>
      <c r="C18" s="142"/>
      <c r="D18" s="149"/>
      <c r="E18" s="64">
        <v>74000</v>
      </c>
      <c r="F18" s="64">
        <f>E18*0.1</f>
        <v>7400</v>
      </c>
      <c r="G18" s="64">
        <f>F18*0.16</f>
        <v>1184</v>
      </c>
      <c r="H18" s="71">
        <f t="shared" si="3"/>
        <v>82584</v>
      </c>
      <c r="I18" s="79">
        <f>H18*23</f>
        <v>1899432</v>
      </c>
    </row>
    <row r="19" spans="1:10" x14ac:dyDescent="0.2">
      <c r="A19" s="154"/>
      <c r="B19" s="142" t="s">
        <v>3</v>
      </c>
      <c r="C19" s="142"/>
      <c r="D19" s="149"/>
      <c r="E19" s="64">
        <f>E17+E18</f>
        <v>396175</v>
      </c>
      <c r="F19" s="64">
        <f t="shared" ref="F19:G19" si="4">F17+F18</f>
        <v>39617.5</v>
      </c>
      <c r="G19" s="64">
        <f t="shared" si="4"/>
        <v>6338.8</v>
      </c>
      <c r="H19" s="71">
        <f t="shared" si="3"/>
        <v>442131.3</v>
      </c>
      <c r="I19" s="9"/>
    </row>
    <row r="20" spans="1:10" x14ac:dyDescent="0.2">
      <c r="A20" s="154"/>
      <c r="B20" s="4" t="s">
        <v>15</v>
      </c>
      <c r="C20" s="5">
        <v>0.12</v>
      </c>
      <c r="D20" s="149"/>
      <c r="E20" s="64">
        <f>E4*0.12</f>
        <v>77322</v>
      </c>
      <c r="F20" s="64">
        <f t="shared" ref="F20:F25" si="5">E20*0.1</f>
        <v>7732.2000000000007</v>
      </c>
      <c r="G20" s="64">
        <f t="shared" ref="G20:G25" si="6">F20*0.16</f>
        <v>1237.152</v>
      </c>
      <c r="H20" s="71">
        <f t="shared" si="3"/>
        <v>86291.351999999999</v>
      </c>
      <c r="I20" s="9"/>
    </row>
    <row r="21" spans="1:10" x14ac:dyDescent="0.2">
      <c r="A21" s="154"/>
      <c r="B21" s="4" t="s">
        <v>16</v>
      </c>
      <c r="C21" s="5">
        <v>10.44</v>
      </c>
      <c r="D21" s="149"/>
      <c r="E21" s="72">
        <f>E4*0.01044</f>
        <v>6727.0140000000001</v>
      </c>
      <c r="F21" s="72">
        <f t="shared" si="5"/>
        <v>672.70140000000004</v>
      </c>
      <c r="G21" s="72">
        <f t="shared" si="6"/>
        <v>107.63222400000001</v>
      </c>
      <c r="H21" s="71">
        <f t="shared" si="3"/>
        <v>7507.347624</v>
      </c>
      <c r="I21" s="9"/>
    </row>
    <row r="22" spans="1:10" ht="25.5" x14ac:dyDescent="0.2">
      <c r="A22" s="154"/>
      <c r="B22" s="4" t="s">
        <v>17</v>
      </c>
      <c r="C22" s="5">
        <v>0.04</v>
      </c>
      <c r="D22" s="149"/>
      <c r="E22" s="64">
        <f>E4*0.04</f>
        <v>25774</v>
      </c>
      <c r="F22" s="64">
        <f t="shared" si="5"/>
        <v>2577.4</v>
      </c>
      <c r="G22" s="64">
        <f t="shared" si="6"/>
        <v>412.38400000000001</v>
      </c>
      <c r="H22" s="71">
        <f t="shared" si="3"/>
        <v>28763.784</v>
      </c>
      <c r="I22" s="9"/>
    </row>
    <row r="23" spans="1:10" x14ac:dyDescent="0.2">
      <c r="A23" s="154"/>
      <c r="B23" s="4" t="s">
        <v>18</v>
      </c>
      <c r="C23" s="6" t="s">
        <v>4</v>
      </c>
      <c r="D23" s="149"/>
      <c r="E23" s="64">
        <f>E19*0.0833</f>
        <v>33001.377500000002</v>
      </c>
      <c r="F23" s="64">
        <f t="shared" si="5"/>
        <v>3300.1377500000003</v>
      </c>
      <c r="G23" s="64">
        <f t="shared" si="6"/>
        <v>528.02204000000006</v>
      </c>
      <c r="H23" s="71">
        <f t="shared" si="3"/>
        <v>36829.537290000007</v>
      </c>
      <c r="I23" s="9"/>
    </row>
    <row r="24" spans="1:10" x14ac:dyDescent="0.2">
      <c r="A24" s="154"/>
      <c r="B24" s="4" t="s">
        <v>19</v>
      </c>
      <c r="C24" s="5">
        <v>0.01</v>
      </c>
      <c r="D24" s="149"/>
      <c r="E24" s="64">
        <f>E19*0.01</f>
        <v>3961.75</v>
      </c>
      <c r="F24" s="64">
        <f t="shared" si="5"/>
        <v>396.17500000000001</v>
      </c>
      <c r="G24" s="64">
        <f t="shared" si="6"/>
        <v>63.388000000000005</v>
      </c>
      <c r="H24" s="71">
        <f t="shared" si="3"/>
        <v>4421.3130000000001</v>
      </c>
      <c r="I24" s="9"/>
    </row>
    <row r="25" spans="1:10" x14ac:dyDescent="0.2">
      <c r="A25" s="154"/>
      <c r="B25" s="142" t="s">
        <v>20</v>
      </c>
      <c r="C25" s="143" t="s">
        <v>5</v>
      </c>
      <c r="D25" s="149"/>
      <c r="E25" s="132">
        <f>E19*0.0833</f>
        <v>33001.377500000002</v>
      </c>
      <c r="F25" s="132">
        <f t="shared" si="5"/>
        <v>3300.1377500000003</v>
      </c>
      <c r="G25" s="132">
        <f t="shared" si="6"/>
        <v>528.02204000000006</v>
      </c>
      <c r="H25" s="136">
        <f t="shared" si="3"/>
        <v>36829.537290000007</v>
      </c>
      <c r="I25" s="9"/>
    </row>
    <row r="26" spans="1:10" x14ac:dyDescent="0.2">
      <c r="A26" s="154"/>
      <c r="B26" s="142"/>
      <c r="C26" s="143"/>
      <c r="D26" s="149"/>
      <c r="E26" s="133"/>
      <c r="F26" s="133"/>
      <c r="G26" s="133"/>
      <c r="H26" s="137"/>
      <c r="I26" s="9"/>
    </row>
    <row r="27" spans="1:10" x14ac:dyDescent="0.2">
      <c r="A27" s="154"/>
      <c r="B27" s="142" t="s">
        <v>21</v>
      </c>
      <c r="C27" s="143" t="s">
        <v>6</v>
      </c>
      <c r="D27" s="149"/>
      <c r="E27" s="132">
        <f>E17*0.0417</f>
        <v>13434.6975</v>
      </c>
      <c r="F27" s="132">
        <f>E27*0.1</f>
        <v>1343.4697500000002</v>
      </c>
      <c r="G27" s="132">
        <f>F27*0.16</f>
        <v>214.95516000000003</v>
      </c>
      <c r="H27" s="136">
        <f>E27+F27+G27</f>
        <v>14993.12241</v>
      </c>
      <c r="I27" s="9"/>
    </row>
    <row r="28" spans="1:10" x14ac:dyDescent="0.2">
      <c r="A28" s="154"/>
      <c r="B28" s="142"/>
      <c r="C28" s="143"/>
      <c r="D28" s="149"/>
      <c r="E28" s="133"/>
      <c r="F28" s="133"/>
      <c r="G28" s="133"/>
      <c r="H28" s="137"/>
      <c r="I28" s="9"/>
    </row>
    <row r="29" spans="1:10" x14ac:dyDescent="0.2">
      <c r="A29" s="155"/>
      <c r="B29" s="150" t="s">
        <v>3</v>
      </c>
      <c r="C29" s="151"/>
      <c r="D29" s="151"/>
      <c r="E29" s="151"/>
      <c r="F29" s="151"/>
      <c r="G29" s="152"/>
      <c r="H29" s="128">
        <f>I29*22</f>
        <v>14470880.459508</v>
      </c>
      <c r="I29" s="74">
        <f>SUM(H19:H28)</f>
        <v>657767.29361399997</v>
      </c>
      <c r="J29" s="84"/>
    </row>
    <row r="30" spans="1:10" ht="24.75" customHeight="1" x14ac:dyDescent="0.2">
      <c r="A30" s="144" t="s">
        <v>210</v>
      </c>
      <c r="B30" s="142" t="s">
        <v>13</v>
      </c>
      <c r="C30" s="142"/>
      <c r="D30" s="149">
        <v>2</v>
      </c>
      <c r="E30" s="65">
        <v>322175</v>
      </c>
      <c r="F30" s="65">
        <f>E30*0.1</f>
        <v>32217.5</v>
      </c>
      <c r="G30" s="62"/>
      <c r="H30" s="65">
        <f>E30+F30</f>
        <v>354392.5</v>
      </c>
      <c r="I30" s="9"/>
    </row>
    <row r="31" spans="1:10" x14ac:dyDescent="0.2">
      <c r="A31" s="145"/>
      <c r="B31" s="142" t="s">
        <v>14</v>
      </c>
      <c r="C31" s="142"/>
      <c r="D31" s="149"/>
      <c r="E31" s="65">
        <v>74000</v>
      </c>
      <c r="F31" s="65">
        <f>E31*0.1</f>
        <v>7400</v>
      </c>
      <c r="G31" s="62"/>
      <c r="H31" s="65">
        <f>E31+F31</f>
        <v>81400</v>
      </c>
      <c r="I31" s="81">
        <f>H31*1</f>
        <v>81400</v>
      </c>
    </row>
    <row r="32" spans="1:10" ht="24" customHeight="1" x14ac:dyDescent="0.2">
      <c r="A32" s="145"/>
      <c r="B32" s="142" t="s">
        <v>3</v>
      </c>
      <c r="C32" s="142"/>
      <c r="D32" s="149"/>
      <c r="E32" s="65">
        <f>E30+E31</f>
        <v>396175</v>
      </c>
      <c r="F32" s="65">
        <f>F30+F31</f>
        <v>39617.5</v>
      </c>
      <c r="G32" s="65"/>
      <c r="H32" s="65">
        <f>H30+H31</f>
        <v>435792.5</v>
      </c>
      <c r="I32" s="9"/>
    </row>
    <row r="33" spans="1:9" x14ac:dyDescent="0.2">
      <c r="A33" s="145"/>
      <c r="B33" s="4" t="s">
        <v>15</v>
      </c>
      <c r="C33" s="5">
        <v>0.12</v>
      </c>
      <c r="D33" s="149"/>
      <c r="E33" s="65">
        <f>E4*0.12</f>
        <v>77322</v>
      </c>
      <c r="F33" s="65">
        <f t="shared" ref="F33:F38" si="7">E33*0.1</f>
        <v>7732.2000000000007</v>
      </c>
      <c r="G33" s="62"/>
      <c r="H33" s="65">
        <f t="shared" ref="H33:H38" si="8">E33+F33</f>
        <v>85054.2</v>
      </c>
      <c r="I33" s="9"/>
    </row>
    <row r="34" spans="1:9" x14ac:dyDescent="0.2">
      <c r="A34" s="145"/>
      <c r="B34" s="4" t="s">
        <v>16</v>
      </c>
      <c r="C34" s="5">
        <v>10.44</v>
      </c>
      <c r="D34" s="149"/>
      <c r="E34" s="70">
        <f>E4*0.01044</f>
        <v>6727.0140000000001</v>
      </c>
      <c r="F34" s="70">
        <f t="shared" si="7"/>
        <v>672.70140000000004</v>
      </c>
      <c r="G34" s="68"/>
      <c r="H34" s="70">
        <f t="shared" si="8"/>
        <v>7399.7154</v>
      </c>
      <c r="I34" s="12"/>
    </row>
    <row r="35" spans="1:9" ht="24" customHeight="1" x14ac:dyDescent="0.2">
      <c r="A35" s="145"/>
      <c r="B35" s="4" t="s">
        <v>17</v>
      </c>
      <c r="C35" s="5">
        <v>0.04</v>
      </c>
      <c r="D35" s="149"/>
      <c r="E35" s="65">
        <f>E4*0.04</f>
        <v>25774</v>
      </c>
      <c r="F35" s="65">
        <f t="shared" si="7"/>
        <v>2577.4</v>
      </c>
      <c r="G35" s="67"/>
      <c r="H35" s="65">
        <f t="shared" si="8"/>
        <v>28351.4</v>
      </c>
      <c r="I35" s="9"/>
    </row>
    <row r="36" spans="1:9" x14ac:dyDescent="0.2">
      <c r="A36" s="145"/>
      <c r="B36" s="4" t="s">
        <v>18</v>
      </c>
      <c r="C36" s="6" t="s">
        <v>4</v>
      </c>
      <c r="D36" s="149"/>
      <c r="E36" s="65">
        <f>E32*0.0833</f>
        <v>33001.377500000002</v>
      </c>
      <c r="F36" s="65">
        <f t="shared" si="7"/>
        <v>3300.1377500000003</v>
      </c>
      <c r="G36" s="66"/>
      <c r="H36" s="129">
        <f t="shared" si="8"/>
        <v>36301.515250000004</v>
      </c>
      <c r="I36" s="8"/>
    </row>
    <row r="37" spans="1:9" ht="24" customHeight="1" x14ac:dyDescent="0.2">
      <c r="A37" s="145"/>
      <c r="B37" s="4" t="s">
        <v>19</v>
      </c>
      <c r="C37" s="5">
        <v>0.01</v>
      </c>
      <c r="D37" s="149"/>
      <c r="E37" s="65">
        <f>E32*0.01</f>
        <v>3961.75</v>
      </c>
      <c r="F37" s="65">
        <f t="shared" si="7"/>
        <v>396.17500000000001</v>
      </c>
      <c r="G37" s="65"/>
      <c r="H37" s="129">
        <f t="shared" si="8"/>
        <v>4357.9250000000002</v>
      </c>
      <c r="I37" s="8"/>
    </row>
    <row r="38" spans="1:9" x14ac:dyDescent="0.2">
      <c r="A38" s="145"/>
      <c r="B38" s="142" t="s">
        <v>20</v>
      </c>
      <c r="C38" s="143" t="s">
        <v>5</v>
      </c>
      <c r="D38" s="149"/>
      <c r="E38" s="132">
        <f>E32*0.0833</f>
        <v>33001.377500000002</v>
      </c>
      <c r="F38" s="132">
        <f t="shared" si="7"/>
        <v>3300.1377500000003</v>
      </c>
      <c r="G38" s="132"/>
      <c r="H38" s="140">
        <f t="shared" si="8"/>
        <v>36301.515250000004</v>
      </c>
      <c r="I38" s="13"/>
    </row>
    <row r="39" spans="1:9" x14ac:dyDescent="0.2">
      <c r="A39" s="145"/>
      <c r="B39" s="142"/>
      <c r="C39" s="143"/>
      <c r="D39" s="149"/>
      <c r="E39" s="133"/>
      <c r="F39" s="133"/>
      <c r="G39" s="133"/>
      <c r="H39" s="141"/>
      <c r="I39" s="13"/>
    </row>
    <row r="40" spans="1:9" x14ac:dyDescent="0.2">
      <c r="A40" s="145"/>
      <c r="B40" s="142" t="s">
        <v>21</v>
      </c>
      <c r="C40" s="143" t="s">
        <v>6</v>
      </c>
      <c r="D40" s="149"/>
      <c r="E40" s="132">
        <f>E30*0.0417</f>
        <v>13434.6975</v>
      </c>
      <c r="F40" s="132">
        <f>E40*0.1</f>
        <v>1343.4697500000002</v>
      </c>
      <c r="G40" s="132"/>
      <c r="H40" s="140">
        <f>E40+F40</f>
        <v>14778.16725</v>
      </c>
      <c r="I40" s="13"/>
    </row>
    <row r="41" spans="1:9" x14ac:dyDescent="0.2">
      <c r="A41" s="145"/>
      <c r="B41" s="142"/>
      <c r="C41" s="143"/>
      <c r="D41" s="149"/>
      <c r="E41" s="133"/>
      <c r="F41" s="133"/>
      <c r="G41" s="133"/>
      <c r="H41" s="141"/>
      <c r="I41" s="13"/>
    </row>
    <row r="42" spans="1:9" ht="18" customHeight="1" x14ac:dyDescent="0.2">
      <c r="A42" s="146"/>
      <c r="B42" s="150" t="s">
        <v>3</v>
      </c>
      <c r="C42" s="151"/>
      <c r="D42" s="151"/>
      <c r="E42" s="151"/>
      <c r="F42" s="151"/>
      <c r="G42" s="152"/>
      <c r="H42" s="130">
        <f>I42*2</f>
        <v>1296673.8763000006</v>
      </c>
      <c r="I42" s="75">
        <f>SUM(H32:H41)</f>
        <v>648336.93815000029</v>
      </c>
    </row>
    <row r="43" spans="1:9" x14ac:dyDescent="0.2">
      <c r="A43" s="161" t="s">
        <v>1</v>
      </c>
      <c r="B43" s="142" t="s">
        <v>13</v>
      </c>
      <c r="C43" s="142"/>
      <c r="D43" s="162">
        <v>1</v>
      </c>
      <c r="E43" s="73">
        <v>644350</v>
      </c>
      <c r="F43" s="73">
        <f>E43*0.1</f>
        <v>64435</v>
      </c>
      <c r="G43" s="73">
        <f>F43*0.16</f>
        <v>10309.6</v>
      </c>
      <c r="H43" s="131">
        <f t="shared" ref="H43:H51" si="9">E43+F43+G43</f>
        <v>719094.6</v>
      </c>
      <c r="I43" s="13"/>
    </row>
    <row r="44" spans="1:9" x14ac:dyDescent="0.2">
      <c r="A44" s="161"/>
      <c r="B44" s="142" t="s">
        <v>14</v>
      </c>
      <c r="C44" s="142"/>
      <c r="D44" s="163"/>
      <c r="E44" s="73">
        <v>74000</v>
      </c>
      <c r="F44" s="73">
        <f>E44*0.1</f>
        <v>7400</v>
      </c>
      <c r="G44" s="73">
        <f>F44*0.16</f>
        <v>1184</v>
      </c>
      <c r="H44" s="131">
        <f t="shared" si="9"/>
        <v>82584</v>
      </c>
      <c r="I44" s="80">
        <f>H44*1</f>
        <v>82584</v>
      </c>
    </row>
    <row r="45" spans="1:9" x14ac:dyDescent="0.2">
      <c r="A45" s="161"/>
      <c r="B45" s="142" t="s">
        <v>3</v>
      </c>
      <c r="C45" s="142"/>
      <c r="D45" s="163"/>
      <c r="E45" s="73">
        <f>E43+E44</f>
        <v>718350</v>
      </c>
      <c r="F45" s="73">
        <f>F43+F44</f>
        <v>71835</v>
      </c>
      <c r="G45" s="73">
        <f>G43+G44</f>
        <v>11493.6</v>
      </c>
      <c r="H45" s="131">
        <f t="shared" si="9"/>
        <v>801678.6</v>
      </c>
      <c r="I45" s="13"/>
    </row>
    <row r="46" spans="1:9" x14ac:dyDescent="0.2">
      <c r="A46" s="161"/>
      <c r="B46" s="4" t="s">
        <v>15</v>
      </c>
      <c r="C46" s="5">
        <v>0.12</v>
      </c>
      <c r="D46" s="163"/>
      <c r="E46" s="73">
        <f>E43*0.12</f>
        <v>77322</v>
      </c>
      <c r="F46" s="73">
        <f t="shared" ref="F46:F51" si="10">E46*0.1</f>
        <v>7732.2000000000007</v>
      </c>
      <c r="G46" s="73">
        <f t="shared" ref="G46:G51" si="11">F46*0.16</f>
        <v>1237.152</v>
      </c>
      <c r="H46" s="131">
        <f t="shared" si="9"/>
        <v>86291.351999999999</v>
      </c>
      <c r="I46" s="13"/>
    </row>
    <row r="47" spans="1:9" x14ac:dyDescent="0.2">
      <c r="A47" s="161"/>
      <c r="B47" s="4" t="s">
        <v>16</v>
      </c>
      <c r="C47" s="5">
        <v>10.44</v>
      </c>
      <c r="D47" s="163"/>
      <c r="E47" s="73">
        <f>E43*0.01044</f>
        <v>6727.0140000000001</v>
      </c>
      <c r="F47" s="73">
        <f t="shared" si="10"/>
        <v>672.70140000000004</v>
      </c>
      <c r="G47" s="73">
        <f t="shared" si="11"/>
        <v>107.63222400000001</v>
      </c>
      <c r="H47" s="131">
        <f t="shared" si="9"/>
        <v>7507.347624</v>
      </c>
      <c r="I47" s="13"/>
    </row>
    <row r="48" spans="1:9" ht="24" customHeight="1" x14ac:dyDescent="0.2">
      <c r="A48" s="161"/>
      <c r="B48" s="4" t="s">
        <v>17</v>
      </c>
      <c r="C48" s="5">
        <v>0.04</v>
      </c>
      <c r="D48" s="163"/>
      <c r="E48" s="73">
        <f>E43*0.04</f>
        <v>25774</v>
      </c>
      <c r="F48" s="73">
        <f t="shared" si="10"/>
        <v>2577.4</v>
      </c>
      <c r="G48" s="73">
        <f t="shared" si="11"/>
        <v>412.38400000000001</v>
      </c>
      <c r="H48" s="131">
        <f t="shared" si="9"/>
        <v>28763.784</v>
      </c>
      <c r="I48" s="13"/>
    </row>
    <row r="49" spans="1:9" x14ac:dyDescent="0.2">
      <c r="A49" s="161"/>
      <c r="B49" s="4" t="s">
        <v>18</v>
      </c>
      <c r="C49" s="6" t="s">
        <v>4</v>
      </c>
      <c r="D49" s="163"/>
      <c r="E49" s="73">
        <f>E45*0.0833</f>
        <v>59838.555</v>
      </c>
      <c r="F49" s="73">
        <f t="shared" si="10"/>
        <v>5983.8555000000006</v>
      </c>
      <c r="G49" s="73">
        <f t="shared" si="11"/>
        <v>957.41688000000011</v>
      </c>
      <c r="H49" s="73">
        <f t="shared" si="9"/>
        <v>66779.827380000002</v>
      </c>
      <c r="I49" s="13"/>
    </row>
    <row r="50" spans="1:9" x14ac:dyDescent="0.2">
      <c r="A50" s="161"/>
      <c r="B50" s="4" t="s">
        <v>19</v>
      </c>
      <c r="C50" s="5">
        <v>0.01</v>
      </c>
      <c r="D50" s="163"/>
      <c r="E50" s="73">
        <f>E45*0.01</f>
        <v>7183.5</v>
      </c>
      <c r="F50" s="73">
        <f t="shared" si="10"/>
        <v>718.35</v>
      </c>
      <c r="G50" s="73">
        <f t="shared" si="11"/>
        <v>114.93600000000001</v>
      </c>
      <c r="H50" s="73">
        <f t="shared" si="9"/>
        <v>8016.7860000000001</v>
      </c>
      <c r="I50" s="13"/>
    </row>
    <row r="51" spans="1:9" x14ac:dyDescent="0.2">
      <c r="A51" s="161"/>
      <c r="B51" s="142" t="s">
        <v>20</v>
      </c>
      <c r="C51" s="143" t="s">
        <v>5</v>
      </c>
      <c r="D51" s="163"/>
      <c r="E51" s="132">
        <f>E45*0.0833</f>
        <v>59838.555</v>
      </c>
      <c r="F51" s="132">
        <f t="shared" si="10"/>
        <v>5983.8555000000006</v>
      </c>
      <c r="G51" s="132">
        <f t="shared" si="11"/>
        <v>957.41688000000011</v>
      </c>
      <c r="H51" s="132">
        <f t="shared" si="9"/>
        <v>66779.827380000002</v>
      </c>
      <c r="I51" s="13"/>
    </row>
    <row r="52" spans="1:9" x14ac:dyDescent="0.2">
      <c r="A52" s="161"/>
      <c r="B52" s="142"/>
      <c r="C52" s="143"/>
      <c r="D52" s="163"/>
      <c r="E52" s="133"/>
      <c r="F52" s="133"/>
      <c r="G52" s="133"/>
      <c r="H52" s="133"/>
      <c r="I52" s="13"/>
    </row>
    <row r="53" spans="1:9" ht="30.75" customHeight="1" x14ac:dyDescent="0.2">
      <c r="A53" s="161"/>
      <c r="B53" s="3" t="s">
        <v>21</v>
      </c>
      <c r="C53" s="6" t="s">
        <v>6</v>
      </c>
      <c r="D53" s="163"/>
      <c r="E53" s="73">
        <f>E43*0.0417</f>
        <v>26869.395</v>
      </c>
      <c r="F53" s="73">
        <f>E53*0.1</f>
        <v>2686.9395000000004</v>
      </c>
      <c r="G53" s="73">
        <f>F53*0.16</f>
        <v>429.91032000000007</v>
      </c>
      <c r="H53" s="73">
        <f>E53+F53+G53</f>
        <v>29986.24482</v>
      </c>
      <c r="I53" s="77"/>
    </row>
    <row r="54" spans="1:9" x14ac:dyDescent="0.2">
      <c r="A54" s="161"/>
      <c r="B54" s="150" t="s">
        <v>10</v>
      </c>
      <c r="C54" s="151"/>
      <c r="D54" s="151"/>
      <c r="E54" s="151"/>
      <c r="F54" s="151"/>
      <c r="G54" s="152"/>
      <c r="H54" s="76">
        <f>I54*1</f>
        <v>1095803.7692039998</v>
      </c>
      <c r="I54" s="75">
        <f>H45+H46+H47+H48+H49+H50+H51+H53</f>
        <v>1095803.7692039998</v>
      </c>
    </row>
    <row r="55" spans="1:9" ht="16.5" customHeight="1" x14ac:dyDescent="0.2">
      <c r="A55" s="160" t="s">
        <v>11</v>
      </c>
      <c r="B55" s="142" t="s">
        <v>13</v>
      </c>
      <c r="C55" s="142"/>
      <c r="D55" s="162">
        <v>1</v>
      </c>
      <c r="E55" s="73">
        <v>644350</v>
      </c>
      <c r="F55" s="73">
        <f>E55*0.1</f>
        <v>64435</v>
      </c>
      <c r="G55" s="73">
        <f>F55*0.16</f>
        <v>10309.6</v>
      </c>
      <c r="H55" s="73">
        <f>E55+F55+G55</f>
        <v>719094.6</v>
      </c>
      <c r="I55" s="13"/>
    </row>
    <row r="56" spans="1:9" x14ac:dyDescent="0.2">
      <c r="A56" s="160"/>
      <c r="B56" s="142" t="s">
        <v>14</v>
      </c>
      <c r="C56" s="142"/>
      <c r="D56" s="163"/>
      <c r="E56" s="73">
        <v>74000</v>
      </c>
      <c r="F56" s="73">
        <f>E56*0.1</f>
        <v>7400</v>
      </c>
      <c r="G56" s="73">
        <f>F56*0.16</f>
        <v>1184</v>
      </c>
      <c r="H56" s="73">
        <f>E56+F56+G56</f>
        <v>82584</v>
      </c>
      <c r="I56" s="80">
        <f>H56*1</f>
        <v>82584</v>
      </c>
    </row>
    <row r="57" spans="1:9" ht="15" customHeight="1" x14ac:dyDescent="0.2">
      <c r="A57" s="160"/>
      <c r="B57" s="142" t="s">
        <v>3</v>
      </c>
      <c r="C57" s="142"/>
      <c r="D57" s="163"/>
      <c r="E57" s="73">
        <f>E55+E56</f>
        <v>718350</v>
      </c>
      <c r="F57" s="73">
        <f>F55+F56</f>
        <v>71835</v>
      </c>
      <c r="G57" s="73">
        <f>G55+G56</f>
        <v>11493.6</v>
      </c>
      <c r="H57" s="73">
        <f>H55+H56</f>
        <v>801678.6</v>
      </c>
      <c r="I57" s="13"/>
    </row>
    <row r="58" spans="1:9" x14ac:dyDescent="0.2">
      <c r="A58" s="160"/>
      <c r="B58" s="4" t="s">
        <v>15</v>
      </c>
      <c r="C58" s="5">
        <v>0.12</v>
      </c>
      <c r="D58" s="163"/>
      <c r="E58" s="73">
        <f>E55*0.12</f>
        <v>77322</v>
      </c>
      <c r="F58" s="73">
        <f t="shared" ref="F58:H58" si="12">F55*0.12</f>
        <v>7732.2</v>
      </c>
      <c r="G58" s="73">
        <f t="shared" si="12"/>
        <v>1237.152</v>
      </c>
      <c r="H58" s="73">
        <f t="shared" si="12"/>
        <v>86291.351999999999</v>
      </c>
      <c r="I58" s="13"/>
    </row>
    <row r="59" spans="1:9" x14ac:dyDescent="0.2">
      <c r="A59" s="160"/>
      <c r="B59" s="4" t="s">
        <v>16</v>
      </c>
      <c r="C59" s="5">
        <v>10.44</v>
      </c>
      <c r="D59" s="163"/>
      <c r="E59" s="73">
        <f>E55*0.01044</f>
        <v>6727.0140000000001</v>
      </c>
      <c r="F59" s="73">
        <f t="shared" ref="F59:H59" si="13">F55*0.01044</f>
        <v>672.70139999999992</v>
      </c>
      <c r="G59" s="73">
        <f t="shared" si="13"/>
        <v>107.63222399999999</v>
      </c>
      <c r="H59" s="131">
        <f t="shared" si="13"/>
        <v>7507.3476239999991</v>
      </c>
      <c r="I59" s="13"/>
    </row>
    <row r="60" spans="1:9" ht="25.5" x14ac:dyDescent="0.2">
      <c r="A60" s="160"/>
      <c r="B60" s="4" t="s">
        <v>17</v>
      </c>
      <c r="C60" s="5">
        <v>0.04</v>
      </c>
      <c r="D60" s="163"/>
      <c r="E60" s="73">
        <f>E55*0.04</f>
        <v>25774</v>
      </c>
      <c r="F60" s="73">
        <f t="shared" ref="F60:H60" si="14">F55*0.04</f>
        <v>2577.4</v>
      </c>
      <c r="G60" s="73">
        <f t="shared" si="14"/>
        <v>412.38400000000001</v>
      </c>
      <c r="H60" s="131">
        <f t="shared" si="14"/>
        <v>28763.784</v>
      </c>
      <c r="I60" s="13"/>
    </row>
    <row r="61" spans="1:9" x14ac:dyDescent="0.2">
      <c r="A61" s="160"/>
      <c r="B61" s="4" t="s">
        <v>18</v>
      </c>
      <c r="C61" s="6" t="s">
        <v>4</v>
      </c>
      <c r="D61" s="163"/>
      <c r="E61" s="73">
        <f>E57*0.0833</f>
        <v>59838.555</v>
      </c>
      <c r="F61" s="73">
        <f t="shared" ref="F61:H61" si="15">F57*0.0833</f>
        <v>5983.8554999999997</v>
      </c>
      <c r="G61" s="73">
        <f t="shared" si="15"/>
        <v>957.41687999999999</v>
      </c>
      <c r="H61" s="73">
        <f t="shared" si="15"/>
        <v>66779.827380000002</v>
      </c>
      <c r="I61" s="13"/>
    </row>
    <row r="62" spans="1:9" ht="30" customHeight="1" x14ac:dyDescent="0.2">
      <c r="A62" s="160"/>
      <c r="B62" s="4" t="s">
        <v>19</v>
      </c>
      <c r="C62" s="5">
        <v>0.01</v>
      </c>
      <c r="D62" s="163"/>
      <c r="E62" s="73">
        <f>E57*0.01</f>
        <v>7183.5</v>
      </c>
      <c r="F62" s="73">
        <f t="shared" ref="F62:H62" si="16">F57*0.01</f>
        <v>718.35</v>
      </c>
      <c r="G62" s="73">
        <f t="shared" si="16"/>
        <v>114.93600000000001</v>
      </c>
      <c r="H62" s="73">
        <f t="shared" si="16"/>
        <v>8016.7860000000001</v>
      </c>
      <c r="I62" s="13"/>
    </row>
    <row r="63" spans="1:9" x14ac:dyDescent="0.2">
      <c r="A63" s="160"/>
      <c r="B63" s="142" t="s">
        <v>20</v>
      </c>
      <c r="C63" s="143" t="s">
        <v>5</v>
      </c>
      <c r="D63" s="163"/>
      <c r="E63" s="132">
        <f>E57*0.0833</f>
        <v>59838.555</v>
      </c>
      <c r="F63" s="132">
        <f>E63*0.1</f>
        <v>5983.8555000000006</v>
      </c>
      <c r="G63" s="132">
        <f>F63*0.16</f>
        <v>957.41688000000011</v>
      </c>
      <c r="H63" s="132">
        <f>E63+F63+G63</f>
        <v>66779.827380000002</v>
      </c>
      <c r="I63" s="13"/>
    </row>
    <row r="64" spans="1:9" x14ac:dyDescent="0.2">
      <c r="A64" s="160"/>
      <c r="B64" s="142"/>
      <c r="C64" s="143"/>
      <c r="D64" s="163"/>
      <c r="E64" s="133"/>
      <c r="F64" s="133"/>
      <c r="G64" s="133"/>
      <c r="H64" s="133"/>
      <c r="I64" s="13"/>
    </row>
    <row r="65" spans="1:11" x14ac:dyDescent="0.2">
      <c r="A65" s="160"/>
      <c r="B65" s="142" t="s">
        <v>21</v>
      </c>
      <c r="C65" s="143" t="s">
        <v>6</v>
      </c>
      <c r="D65" s="163"/>
      <c r="E65" s="132">
        <f>E55*0.0417</f>
        <v>26869.395</v>
      </c>
      <c r="F65" s="132">
        <f t="shared" ref="F65:H65" si="17">F55*0.0417</f>
        <v>2686.9395</v>
      </c>
      <c r="G65" s="132">
        <f t="shared" si="17"/>
        <v>429.91032000000001</v>
      </c>
      <c r="H65" s="132">
        <f t="shared" si="17"/>
        <v>29986.24482</v>
      </c>
      <c r="I65" s="13"/>
    </row>
    <row r="66" spans="1:11" x14ac:dyDescent="0.2">
      <c r="A66" s="160"/>
      <c r="B66" s="142"/>
      <c r="C66" s="143"/>
      <c r="D66" s="164"/>
      <c r="E66" s="133"/>
      <c r="F66" s="133"/>
      <c r="G66" s="133"/>
      <c r="H66" s="133"/>
      <c r="I66" s="13"/>
    </row>
    <row r="67" spans="1:11" x14ac:dyDescent="0.2">
      <c r="A67" s="160"/>
      <c r="B67" s="150" t="s">
        <v>10</v>
      </c>
      <c r="C67" s="151"/>
      <c r="D67" s="151"/>
      <c r="E67" s="151"/>
      <c r="F67" s="151"/>
      <c r="G67" s="152"/>
      <c r="H67" s="76">
        <f>I67*1</f>
        <v>1095803.7692039998</v>
      </c>
      <c r="I67" s="75">
        <f>SUM(H57:H66)</f>
        <v>1095803.7692039998</v>
      </c>
      <c r="K67" s="78"/>
    </row>
    <row r="68" spans="1:11" x14ac:dyDescent="0.2">
      <c r="A68" s="160" t="s">
        <v>12</v>
      </c>
      <c r="B68" s="142" t="s">
        <v>13</v>
      </c>
      <c r="C68" s="142"/>
      <c r="D68" s="162">
        <v>1</v>
      </c>
      <c r="E68" s="73">
        <v>644350</v>
      </c>
      <c r="F68" s="73">
        <f>E68*0.1</f>
        <v>64435</v>
      </c>
      <c r="G68" s="73">
        <f>F68*0.16</f>
        <v>10309.6</v>
      </c>
      <c r="H68" s="73">
        <f>E68+F68+G68</f>
        <v>719094.6</v>
      </c>
      <c r="I68" s="13"/>
    </row>
    <row r="69" spans="1:11" x14ac:dyDescent="0.2">
      <c r="A69" s="160"/>
      <c r="B69" s="142" t="s">
        <v>14</v>
      </c>
      <c r="C69" s="142"/>
      <c r="D69" s="163"/>
      <c r="E69" s="73">
        <v>74000</v>
      </c>
      <c r="F69" s="73">
        <f>E69*0.1</f>
        <v>7400</v>
      </c>
      <c r="G69" s="73">
        <f>F69*0.16</f>
        <v>1184</v>
      </c>
      <c r="H69" s="73">
        <f>E69+F69+G69</f>
        <v>82584</v>
      </c>
      <c r="I69" s="80">
        <f>H69*1</f>
        <v>82584</v>
      </c>
    </row>
    <row r="70" spans="1:11" x14ac:dyDescent="0.2">
      <c r="A70" s="160"/>
      <c r="B70" s="142" t="s">
        <v>3</v>
      </c>
      <c r="C70" s="142"/>
      <c r="D70" s="163"/>
      <c r="E70" s="73">
        <f>E68+E69</f>
        <v>718350</v>
      </c>
      <c r="F70" s="73">
        <f>F68+F69</f>
        <v>71835</v>
      </c>
      <c r="G70" s="73">
        <f>G68+G69</f>
        <v>11493.6</v>
      </c>
      <c r="H70" s="73">
        <f>E70+F70+G70</f>
        <v>801678.6</v>
      </c>
      <c r="I70" s="13"/>
    </row>
    <row r="71" spans="1:11" x14ac:dyDescent="0.2">
      <c r="A71" s="160"/>
      <c r="B71" s="4" t="s">
        <v>15</v>
      </c>
      <c r="C71" s="5">
        <v>0.12</v>
      </c>
      <c r="D71" s="163"/>
      <c r="E71" s="73">
        <f>E68*0.12</f>
        <v>77322</v>
      </c>
      <c r="F71" s="73">
        <f t="shared" ref="F71:H71" si="18">F68*0.12</f>
        <v>7732.2</v>
      </c>
      <c r="G71" s="73">
        <f t="shared" si="18"/>
        <v>1237.152</v>
      </c>
      <c r="H71" s="73">
        <f t="shared" si="18"/>
        <v>86291.351999999999</v>
      </c>
      <c r="I71" s="13"/>
    </row>
    <row r="72" spans="1:11" x14ac:dyDescent="0.2">
      <c r="A72" s="160"/>
      <c r="B72" s="4" t="s">
        <v>16</v>
      </c>
      <c r="C72" s="5">
        <v>10.44</v>
      </c>
      <c r="D72" s="163"/>
      <c r="E72" s="73">
        <f>E68*0.01044</f>
        <v>6727.0140000000001</v>
      </c>
      <c r="F72" s="73">
        <f t="shared" ref="F72:H72" si="19">F68*0.01044</f>
        <v>672.70139999999992</v>
      </c>
      <c r="G72" s="73">
        <f t="shared" si="19"/>
        <v>107.63222399999999</v>
      </c>
      <c r="H72" s="131">
        <f t="shared" si="19"/>
        <v>7507.3476239999991</v>
      </c>
      <c r="I72" s="13"/>
    </row>
    <row r="73" spans="1:11" ht="25.5" x14ac:dyDescent="0.2">
      <c r="A73" s="160"/>
      <c r="B73" s="4" t="s">
        <v>17</v>
      </c>
      <c r="C73" s="5">
        <v>0.04</v>
      </c>
      <c r="D73" s="163"/>
      <c r="E73" s="73">
        <f>E68*0.04</f>
        <v>25774</v>
      </c>
      <c r="F73" s="73">
        <f t="shared" ref="F73:H73" si="20">F68*0.04</f>
        <v>2577.4</v>
      </c>
      <c r="G73" s="73">
        <f t="shared" si="20"/>
        <v>412.38400000000001</v>
      </c>
      <c r="H73" s="131">
        <f t="shared" si="20"/>
        <v>28763.784</v>
      </c>
      <c r="I73" s="13"/>
    </row>
    <row r="74" spans="1:11" x14ac:dyDescent="0.2">
      <c r="A74" s="160"/>
      <c r="B74" s="4" t="s">
        <v>18</v>
      </c>
      <c r="C74" s="6" t="s">
        <v>4</v>
      </c>
      <c r="D74" s="163"/>
      <c r="E74" s="73">
        <f>E70*0.0833</f>
        <v>59838.555</v>
      </c>
      <c r="F74" s="73">
        <f t="shared" ref="F74:H74" si="21">F70*0.0833</f>
        <v>5983.8554999999997</v>
      </c>
      <c r="G74" s="73">
        <f t="shared" si="21"/>
        <v>957.41687999999999</v>
      </c>
      <c r="H74" s="73">
        <f t="shared" si="21"/>
        <v>66779.827380000002</v>
      </c>
      <c r="I74" s="13"/>
    </row>
    <row r="75" spans="1:11" x14ac:dyDescent="0.2">
      <c r="A75" s="160"/>
      <c r="B75" s="4" t="s">
        <v>19</v>
      </c>
      <c r="C75" s="5">
        <v>0.01</v>
      </c>
      <c r="D75" s="163"/>
      <c r="E75" s="73">
        <f>E70*0.01</f>
        <v>7183.5</v>
      </c>
      <c r="F75" s="73">
        <f t="shared" ref="F75:H75" si="22">F70*0.01</f>
        <v>718.35</v>
      </c>
      <c r="G75" s="73">
        <f t="shared" si="22"/>
        <v>114.93600000000001</v>
      </c>
      <c r="H75" s="73">
        <f t="shared" si="22"/>
        <v>8016.7860000000001</v>
      </c>
      <c r="I75" s="13"/>
    </row>
    <row r="76" spans="1:11" x14ac:dyDescent="0.2">
      <c r="A76" s="160"/>
      <c r="B76" s="142" t="s">
        <v>20</v>
      </c>
      <c r="C76" s="143" t="s">
        <v>5</v>
      </c>
      <c r="D76" s="163"/>
      <c r="E76" s="132">
        <f>E70*0.0833</f>
        <v>59838.555</v>
      </c>
      <c r="F76" s="132">
        <f t="shared" ref="F76:H76" si="23">F70*0.0833</f>
        <v>5983.8554999999997</v>
      </c>
      <c r="G76" s="132">
        <f t="shared" si="23"/>
        <v>957.41687999999999</v>
      </c>
      <c r="H76" s="132">
        <f t="shared" si="23"/>
        <v>66779.827380000002</v>
      </c>
      <c r="I76" s="13"/>
    </row>
    <row r="77" spans="1:11" x14ac:dyDescent="0.2">
      <c r="A77" s="160"/>
      <c r="B77" s="142"/>
      <c r="C77" s="143"/>
      <c r="D77" s="163"/>
      <c r="E77" s="133"/>
      <c r="F77" s="133"/>
      <c r="G77" s="133"/>
      <c r="H77" s="133"/>
      <c r="I77" s="13"/>
    </row>
    <row r="78" spans="1:11" x14ac:dyDescent="0.2">
      <c r="A78" s="160"/>
      <c r="B78" s="142" t="s">
        <v>21</v>
      </c>
      <c r="C78" s="143" t="s">
        <v>6</v>
      </c>
      <c r="D78" s="163"/>
      <c r="E78" s="132">
        <f>E68*0.0417</f>
        <v>26869.395</v>
      </c>
      <c r="F78" s="132">
        <f t="shared" ref="F78:H78" si="24">F68*0.0417</f>
        <v>2686.9395</v>
      </c>
      <c r="G78" s="132">
        <f t="shared" si="24"/>
        <v>429.91032000000001</v>
      </c>
      <c r="H78" s="132">
        <f t="shared" si="24"/>
        <v>29986.24482</v>
      </c>
      <c r="I78" s="13"/>
    </row>
    <row r="79" spans="1:11" x14ac:dyDescent="0.2">
      <c r="A79" s="160"/>
      <c r="B79" s="142"/>
      <c r="C79" s="143"/>
      <c r="D79" s="164"/>
      <c r="E79" s="133"/>
      <c r="F79" s="133"/>
      <c r="G79" s="133"/>
      <c r="H79" s="133"/>
      <c r="I79" s="13"/>
    </row>
    <row r="80" spans="1:11" x14ac:dyDescent="0.2">
      <c r="A80" s="160"/>
      <c r="B80" s="150" t="s">
        <v>10</v>
      </c>
      <c r="C80" s="151"/>
      <c r="D80" s="151"/>
      <c r="E80" s="151"/>
      <c r="F80" s="151"/>
      <c r="G80" s="152"/>
      <c r="H80" s="73">
        <f>I80*1</f>
        <v>1095803.7692039998</v>
      </c>
      <c r="I80" s="75">
        <f>SUM(H70:H79)</f>
        <v>1095803.7692039998</v>
      </c>
    </row>
    <row r="81" spans="1:14" ht="34.5" customHeight="1" x14ac:dyDescent="0.2">
      <c r="B81" s="169" t="s">
        <v>26</v>
      </c>
      <c r="C81" s="169"/>
      <c r="D81" s="169"/>
      <c r="E81" s="169"/>
      <c r="F81" s="169"/>
      <c r="G81" s="169"/>
      <c r="H81" s="83">
        <f>I81*8</f>
        <v>28399424</v>
      </c>
      <c r="I81" s="78">
        <f>I5+I18+I31+I44+I56+I69</f>
        <v>3549928</v>
      </c>
      <c r="J81" s="82">
        <f>I81*8</f>
        <v>28399424</v>
      </c>
      <c r="K81" s="78"/>
    </row>
    <row r="82" spans="1:14" ht="39" customHeight="1" x14ac:dyDescent="0.2">
      <c r="B82" s="169" t="s">
        <v>27</v>
      </c>
      <c r="C82" s="169"/>
      <c r="D82" s="169"/>
      <c r="E82" s="169"/>
      <c r="F82" s="169"/>
      <c r="G82" s="169"/>
      <c r="H82" s="83">
        <f>(((H80+H67+H54+H42+H29+H16)*8)-H81)</f>
        <v>264303183.60547197</v>
      </c>
      <c r="I82" s="78">
        <f>(H80+H67+H54+H42+H29+H16)*8</f>
        <v>292702607.60547197</v>
      </c>
      <c r="J82" s="82">
        <f>I82-H81</f>
        <v>264303183.60547197</v>
      </c>
    </row>
    <row r="83" spans="1:14" ht="39" customHeight="1" x14ac:dyDescent="0.2">
      <c r="B83" s="169" t="s">
        <v>201</v>
      </c>
      <c r="C83" s="169"/>
      <c r="D83" s="169"/>
      <c r="E83" s="169"/>
      <c r="F83" s="169"/>
      <c r="G83" s="169"/>
      <c r="H83" s="73">
        <v>2673217.46</v>
      </c>
    </row>
    <row r="84" spans="1:14" ht="33.75" customHeight="1" x14ac:dyDescent="0.2">
      <c r="B84" s="169" t="s">
        <v>25</v>
      </c>
      <c r="C84" s="169"/>
      <c r="D84" s="169"/>
      <c r="E84" s="169"/>
      <c r="F84" s="169"/>
      <c r="G84" s="169"/>
      <c r="H84" s="83">
        <f t="shared" ref="H84:H89" si="25">K84+M84</f>
        <v>43779132.067199998</v>
      </c>
      <c r="I84" s="114">
        <f>H81*0.0277</f>
        <v>786664.04479999992</v>
      </c>
      <c r="J84" s="114">
        <f>I84/8</f>
        <v>98333.005599999989</v>
      </c>
      <c r="K84" s="115">
        <f>J84*12</f>
        <v>1179996.0671999999</v>
      </c>
      <c r="L84" s="114">
        <f>H81/8</f>
        <v>3549928</v>
      </c>
      <c r="M84" s="115">
        <f>L84*12</f>
        <v>42599136</v>
      </c>
      <c r="N84" s="116">
        <f t="shared" ref="N84:N89" si="26">K84+M84</f>
        <v>43779132.067199998</v>
      </c>
    </row>
    <row r="85" spans="1:14" ht="57" customHeight="1" x14ac:dyDescent="0.2">
      <c r="B85" s="169" t="s">
        <v>24</v>
      </c>
      <c r="C85" s="169"/>
      <c r="D85" s="169"/>
      <c r="E85" s="169"/>
      <c r="F85" s="169"/>
      <c r="G85" s="169"/>
      <c r="H85" s="85">
        <f t="shared" si="25"/>
        <v>414929567.94223046</v>
      </c>
      <c r="I85" s="114">
        <f>H82*0.0466</f>
        <v>12316528.356014995</v>
      </c>
      <c r="J85" s="114">
        <f>I85/8</f>
        <v>1539566.0445018744</v>
      </c>
      <c r="K85" s="115">
        <f>J85*12</f>
        <v>18474792.534022491</v>
      </c>
      <c r="L85" s="114">
        <f>H82/8</f>
        <v>33037897.950683996</v>
      </c>
      <c r="M85" s="115">
        <f>L85*12</f>
        <v>396454775.40820795</v>
      </c>
      <c r="N85" s="117">
        <f t="shared" si="26"/>
        <v>414929567.94223046</v>
      </c>
    </row>
    <row r="86" spans="1:14" ht="57" customHeight="1" x14ac:dyDescent="0.2">
      <c r="B86" s="169" t="s">
        <v>202</v>
      </c>
      <c r="C86" s="169"/>
      <c r="D86" s="169"/>
      <c r="E86" s="169"/>
      <c r="F86" s="169"/>
      <c r="G86" s="169"/>
      <c r="H86" s="73">
        <f t="shared" si="25"/>
        <v>4156585.8285539998</v>
      </c>
      <c r="I86" s="114">
        <f>H83*0.0366</f>
        <v>97839.759036000003</v>
      </c>
      <c r="J86" s="114">
        <f>I86/8</f>
        <v>12229.9698795</v>
      </c>
      <c r="K86" s="76">
        <f>J86*12</f>
        <v>146759.638554</v>
      </c>
      <c r="L86" s="114">
        <f>H83/8</f>
        <v>334152.1825</v>
      </c>
      <c r="M86" s="76">
        <f>L86*12</f>
        <v>4009826.19</v>
      </c>
      <c r="N86" s="76">
        <f t="shared" si="26"/>
        <v>4156585.8285539998</v>
      </c>
    </row>
    <row r="87" spans="1:14" ht="32.25" customHeight="1" x14ac:dyDescent="0.2">
      <c r="B87" s="169" t="s">
        <v>22</v>
      </c>
      <c r="C87" s="169"/>
      <c r="D87" s="169"/>
      <c r="E87" s="169"/>
      <c r="F87" s="169"/>
      <c r="G87" s="169"/>
      <c r="H87" s="83">
        <f t="shared" si="25"/>
        <v>14997271.341820478</v>
      </c>
      <c r="I87" s="114">
        <f>H84*0.0277</f>
        <v>1212681.9582614398</v>
      </c>
      <c r="J87" s="114">
        <f>I87/12</f>
        <v>101056.82985511998</v>
      </c>
      <c r="K87" s="76">
        <f>J87*4</f>
        <v>404227.31942047994</v>
      </c>
      <c r="L87" s="114">
        <f>H84/12</f>
        <v>3648261.0055999998</v>
      </c>
      <c r="M87" s="115">
        <f>L87*4</f>
        <v>14593044.022399999</v>
      </c>
      <c r="N87" s="118">
        <f t="shared" si="26"/>
        <v>14997271.341820478</v>
      </c>
    </row>
    <row r="88" spans="1:14" ht="26.25" customHeight="1" x14ac:dyDescent="0.2">
      <c r="B88" s="169" t="s">
        <v>23</v>
      </c>
      <c r="C88" s="169"/>
      <c r="D88" s="169"/>
      <c r="E88" s="169"/>
      <c r="F88" s="169"/>
      <c r="G88" s="169"/>
      <c r="H88" s="85">
        <f t="shared" si="25"/>
        <v>144755095.26944613</v>
      </c>
      <c r="I88" s="119">
        <f>H85*0.0466</f>
        <v>19335717.866107941</v>
      </c>
      <c r="J88" s="119">
        <f>I88/12</f>
        <v>1611309.8221756618</v>
      </c>
      <c r="K88" s="120">
        <f>J88*4</f>
        <v>6445239.2887026472</v>
      </c>
      <c r="L88" s="119">
        <f>H85/12</f>
        <v>34577463.995185874</v>
      </c>
      <c r="M88" s="121">
        <f>L88*4</f>
        <v>138309855.9807435</v>
      </c>
      <c r="N88" s="85">
        <f t="shared" si="26"/>
        <v>144755095.26944613</v>
      </c>
    </row>
    <row r="89" spans="1:14" ht="26.25" customHeight="1" x14ac:dyDescent="0.2">
      <c r="B89" s="169" t="s">
        <v>203</v>
      </c>
      <c r="C89" s="169"/>
      <c r="D89" s="169"/>
      <c r="E89" s="169"/>
      <c r="F89" s="169"/>
      <c r="G89" s="169"/>
      <c r="H89" s="76">
        <f t="shared" si="25"/>
        <v>1436238.9566263587</v>
      </c>
      <c r="I89" s="114">
        <f>H86*0.0366</f>
        <v>152131.0413250764</v>
      </c>
      <c r="J89" s="114">
        <f>I89/12</f>
        <v>12677.5867770897</v>
      </c>
      <c r="K89" s="76">
        <f>J89*4</f>
        <v>50710.347108358801</v>
      </c>
      <c r="L89" s="114">
        <f>H86/12</f>
        <v>346382.15237949998</v>
      </c>
      <c r="M89" s="115">
        <f>L89*4</f>
        <v>1385528.6095179999</v>
      </c>
      <c r="N89" s="115">
        <f t="shared" si="26"/>
        <v>1436238.9566263587</v>
      </c>
    </row>
    <row r="90" spans="1:14" ht="29.25" customHeight="1" x14ac:dyDescent="0.25">
      <c r="B90" s="169" t="s">
        <v>192</v>
      </c>
      <c r="C90" s="169"/>
      <c r="D90" s="169"/>
      <c r="E90" s="169"/>
      <c r="F90" s="169"/>
      <c r="G90" s="169"/>
      <c r="H90" s="87">
        <f>SUM(H81:H89)</f>
        <v>919429716.47134948</v>
      </c>
    </row>
    <row r="93" spans="1:14" ht="18" x14ac:dyDescent="0.25">
      <c r="A93" s="165" t="s">
        <v>182</v>
      </c>
      <c r="B93" s="165"/>
      <c r="C93" s="165"/>
      <c r="D93" s="165"/>
      <c r="E93" s="165"/>
      <c r="F93" s="165"/>
      <c r="G93" s="165"/>
      <c r="H93" s="165"/>
      <c r="J93" s="86"/>
    </row>
    <row r="94" spans="1:14" x14ac:dyDescent="0.2">
      <c r="A94" s="165"/>
      <c r="B94" s="165"/>
      <c r="C94" s="165"/>
      <c r="D94" s="165"/>
      <c r="E94" s="165"/>
      <c r="F94" s="165"/>
      <c r="G94" s="165"/>
      <c r="H94" s="165"/>
    </row>
    <row r="95" spans="1:14" x14ac:dyDescent="0.2">
      <c r="A95" s="165"/>
      <c r="B95" s="165"/>
      <c r="C95" s="165"/>
      <c r="D95" s="165"/>
      <c r="E95" s="165"/>
      <c r="F95" s="165"/>
      <c r="G95" s="165"/>
      <c r="H95" s="165"/>
    </row>
    <row r="96" spans="1:14" x14ac:dyDescent="0.2">
      <c r="A96" s="165"/>
      <c r="B96" s="165"/>
      <c r="C96" s="165"/>
      <c r="D96" s="165"/>
      <c r="E96" s="165"/>
      <c r="F96" s="165"/>
      <c r="G96" s="165"/>
      <c r="H96" s="165"/>
    </row>
    <row r="97" spans="1:13" ht="6.75" customHeight="1" x14ac:dyDescent="0.2"/>
    <row r="98" spans="1:13" ht="87.75" customHeight="1" x14ac:dyDescent="0.2">
      <c r="A98" s="48" t="s">
        <v>179</v>
      </c>
      <c r="B98" s="166" t="s">
        <v>180</v>
      </c>
      <c r="C98" s="166"/>
      <c r="D98" s="166"/>
      <c r="E98" s="166"/>
      <c r="F98" s="166"/>
      <c r="G98" s="166"/>
      <c r="H98" s="49" t="s">
        <v>181</v>
      </c>
      <c r="I98" s="47"/>
      <c r="J98" s="47"/>
      <c r="K98" s="47"/>
      <c r="L98" s="47"/>
      <c r="M98" s="47"/>
    </row>
    <row r="99" spans="1:13" ht="15.75" customHeight="1" x14ac:dyDescent="0.2">
      <c r="A99" s="50"/>
      <c r="B99" s="167"/>
      <c r="C99" s="167"/>
      <c r="D99" s="167"/>
      <c r="E99" s="167"/>
      <c r="F99" s="167"/>
      <c r="G99" s="167"/>
      <c r="H99" s="2"/>
    </row>
    <row r="101" spans="1:13" ht="31.5" customHeight="1" x14ac:dyDescent="0.2">
      <c r="A101" s="168" t="s">
        <v>183</v>
      </c>
      <c r="B101" s="168"/>
      <c r="C101" s="168"/>
      <c r="D101" s="168"/>
      <c r="E101" s="168"/>
      <c r="F101" s="168"/>
      <c r="G101" s="168"/>
      <c r="H101" s="168"/>
    </row>
  </sheetData>
  <mergeCells count="123">
    <mergeCell ref="A93:H96"/>
    <mergeCell ref="B98:G98"/>
    <mergeCell ref="B99:G99"/>
    <mergeCell ref="A101:H101"/>
    <mergeCell ref="B90:G90"/>
    <mergeCell ref="B81:G81"/>
    <mergeCell ref="B84:G84"/>
    <mergeCell ref="B85:G85"/>
    <mergeCell ref="B87:G87"/>
    <mergeCell ref="B88:G88"/>
    <mergeCell ref="B82:G82"/>
    <mergeCell ref="B83:G83"/>
    <mergeCell ref="B86:G86"/>
    <mergeCell ref="B89:G89"/>
    <mergeCell ref="B56:C56"/>
    <mergeCell ref="B57:C57"/>
    <mergeCell ref="E63:E64"/>
    <mergeCell ref="F63:F64"/>
    <mergeCell ref="G63:G64"/>
    <mergeCell ref="B27:B28"/>
    <mergeCell ref="C27:C28"/>
    <mergeCell ref="B29:G29"/>
    <mergeCell ref="D43:D53"/>
    <mergeCell ref="D55:D66"/>
    <mergeCell ref="B38:B39"/>
    <mergeCell ref="C38:C39"/>
    <mergeCell ref="B40:B41"/>
    <mergeCell ref="C40:C41"/>
    <mergeCell ref="B32:C32"/>
    <mergeCell ref="E27:E28"/>
    <mergeCell ref="F27:F28"/>
    <mergeCell ref="G27:G28"/>
    <mergeCell ref="E40:E41"/>
    <mergeCell ref="F40:F41"/>
    <mergeCell ref="G40:G41"/>
    <mergeCell ref="A68:A80"/>
    <mergeCell ref="A43:A54"/>
    <mergeCell ref="B80:G80"/>
    <mergeCell ref="A55:A67"/>
    <mergeCell ref="B68:C68"/>
    <mergeCell ref="B69:C69"/>
    <mergeCell ref="B70:C70"/>
    <mergeCell ref="B76:B77"/>
    <mergeCell ref="C76:C77"/>
    <mergeCell ref="B63:B64"/>
    <mergeCell ref="C63:C64"/>
    <mergeCell ref="B65:B66"/>
    <mergeCell ref="C65:C66"/>
    <mergeCell ref="B43:C43"/>
    <mergeCell ref="B44:C44"/>
    <mergeCell ref="B45:C45"/>
    <mergeCell ref="D68:D79"/>
    <mergeCell ref="B54:G54"/>
    <mergeCell ref="B67:G67"/>
    <mergeCell ref="B78:B79"/>
    <mergeCell ref="C78:C79"/>
    <mergeCell ref="B51:B52"/>
    <mergeCell ref="C51:C52"/>
    <mergeCell ref="B55:C55"/>
    <mergeCell ref="A30:A42"/>
    <mergeCell ref="D1:D2"/>
    <mergeCell ref="E1:E2"/>
    <mergeCell ref="D3:D15"/>
    <mergeCell ref="D30:D41"/>
    <mergeCell ref="A4:A16"/>
    <mergeCell ref="B16:G16"/>
    <mergeCell ref="A17:A29"/>
    <mergeCell ref="B17:C17"/>
    <mergeCell ref="D17:D28"/>
    <mergeCell ref="B18:C18"/>
    <mergeCell ref="B19:C19"/>
    <mergeCell ref="B25:B26"/>
    <mergeCell ref="C25:C26"/>
    <mergeCell ref="B30:C30"/>
    <mergeCell ref="B31:C31"/>
    <mergeCell ref="B42:G42"/>
    <mergeCell ref="B14:B15"/>
    <mergeCell ref="C14:C15"/>
    <mergeCell ref="A1:C2"/>
    <mergeCell ref="F1:F2"/>
    <mergeCell ref="G1:G2"/>
    <mergeCell ref="B3:C3"/>
    <mergeCell ref="B4:C4"/>
    <mergeCell ref="B5:C5"/>
    <mergeCell ref="B6:C6"/>
    <mergeCell ref="B12:B13"/>
    <mergeCell ref="C12:C13"/>
    <mergeCell ref="E12:E13"/>
    <mergeCell ref="F12:F13"/>
    <mergeCell ref="G12:G13"/>
    <mergeCell ref="E14:E15"/>
    <mergeCell ref="F14:F15"/>
    <mergeCell ref="G14:G15"/>
    <mergeCell ref="H14:H15"/>
    <mergeCell ref="E25:E26"/>
    <mergeCell ref="F25:F26"/>
    <mergeCell ref="G25:G26"/>
    <mergeCell ref="H25:H26"/>
    <mergeCell ref="H1:H2"/>
    <mergeCell ref="H12:H13"/>
    <mergeCell ref="H40:H41"/>
    <mergeCell ref="E51:E52"/>
    <mergeCell ref="F51:F52"/>
    <mergeCell ref="G51:G52"/>
    <mergeCell ref="H51:H52"/>
    <mergeCell ref="H27:H28"/>
    <mergeCell ref="E38:E39"/>
    <mergeCell ref="F38:F39"/>
    <mergeCell ref="G38:G39"/>
    <mergeCell ref="H38:H39"/>
    <mergeCell ref="E76:E77"/>
    <mergeCell ref="F76:F77"/>
    <mergeCell ref="G76:G77"/>
    <mergeCell ref="H76:H77"/>
    <mergeCell ref="E78:E79"/>
    <mergeCell ref="F78:F79"/>
    <mergeCell ref="G78:G79"/>
    <mergeCell ref="H78:H79"/>
    <mergeCell ref="H63:H64"/>
    <mergeCell ref="E65:E66"/>
    <mergeCell ref="F65:F66"/>
    <mergeCell ref="G65:G66"/>
    <mergeCell ref="H65:H6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topLeftCell="A13" workbookViewId="0">
      <selection activeCell="B36" sqref="B36"/>
    </sheetView>
  </sheetViews>
  <sheetFormatPr baseColWidth="10" defaultRowHeight="12.75" x14ac:dyDescent="0.2"/>
  <cols>
    <col min="1" max="1" width="62.140625" style="15" customWidth="1"/>
    <col min="2" max="3" width="30.5703125" style="15" customWidth="1"/>
    <col min="4" max="4" width="33.28515625" style="15" customWidth="1"/>
    <col min="5" max="16384" width="11.42578125" style="15"/>
  </cols>
  <sheetData>
    <row r="1" spans="1:11" ht="36.75" customHeight="1" x14ac:dyDescent="0.2">
      <c r="A1" s="57" t="s">
        <v>28</v>
      </c>
      <c r="B1" s="18" t="s">
        <v>194</v>
      </c>
      <c r="C1" s="18" t="s">
        <v>195</v>
      </c>
      <c r="D1" s="18" t="s">
        <v>196</v>
      </c>
      <c r="E1" s="56"/>
    </row>
    <row r="2" spans="1:11" ht="75" customHeight="1" x14ac:dyDescent="0.2">
      <c r="A2" s="16" t="s">
        <v>31</v>
      </c>
      <c r="B2" s="88">
        <v>88694541</v>
      </c>
      <c r="C2" s="88">
        <v>137911141</v>
      </c>
      <c r="D2" s="88">
        <v>47652896</v>
      </c>
    </row>
    <row r="3" spans="1:11" ht="136.5" customHeight="1" x14ac:dyDescent="0.2">
      <c r="A3" s="16" t="s">
        <v>33</v>
      </c>
      <c r="B3" s="88">
        <v>1641366</v>
      </c>
      <c r="C3" s="88">
        <v>2552160</v>
      </c>
      <c r="D3" s="88">
        <v>881856</v>
      </c>
    </row>
    <row r="4" spans="1:11" ht="75.75" customHeight="1" x14ac:dyDescent="0.2">
      <c r="A4" s="16" t="s">
        <v>32</v>
      </c>
      <c r="B4" s="90">
        <v>53458483</v>
      </c>
      <c r="C4" s="91">
        <v>83228624</v>
      </c>
      <c r="D4" s="73">
        <v>28687955</v>
      </c>
    </row>
    <row r="5" spans="1:11" ht="12.75" customHeight="1" x14ac:dyDescent="0.2">
      <c r="A5" s="58"/>
      <c r="B5" s="59"/>
    </row>
    <row r="6" spans="1:11" ht="24.75" customHeight="1" x14ac:dyDescent="0.2">
      <c r="A6" s="171" t="s">
        <v>191</v>
      </c>
      <c r="B6" s="171"/>
      <c r="C6" s="172">
        <f>B2+B3+B4+C2+C3+C4+D2+D3+D4</f>
        <v>444709022</v>
      </c>
      <c r="D6" s="173"/>
      <c r="E6" s="170"/>
      <c r="F6" s="170"/>
      <c r="G6" s="170"/>
      <c r="H6" s="170"/>
      <c r="I6" s="170"/>
      <c r="J6" s="170"/>
      <c r="K6" s="170"/>
    </row>
    <row r="7" spans="1:11" x14ac:dyDescent="0.2">
      <c r="A7" s="17"/>
    </row>
    <row r="8" spans="1:11" ht="12.75" customHeight="1" x14ac:dyDescent="0.2">
      <c r="A8" s="165" t="s">
        <v>182</v>
      </c>
      <c r="B8" s="165"/>
      <c r="C8" s="165"/>
      <c r="D8" s="165"/>
      <c r="E8" s="52"/>
      <c r="F8" s="52"/>
      <c r="G8" s="52"/>
      <c r="H8" s="52"/>
    </row>
    <row r="9" spans="1:11" x14ac:dyDescent="0.2">
      <c r="A9" s="165"/>
      <c r="B9" s="165"/>
      <c r="C9" s="165"/>
      <c r="D9" s="165"/>
      <c r="E9" s="52"/>
      <c r="F9" s="52"/>
      <c r="G9" s="52"/>
      <c r="H9" s="52"/>
    </row>
    <row r="10" spans="1:11" x14ac:dyDescent="0.2">
      <c r="A10" s="1"/>
      <c r="B10" s="1"/>
      <c r="C10" s="1"/>
      <c r="D10" s="1"/>
      <c r="E10" s="1"/>
      <c r="F10" s="1"/>
      <c r="G10" s="1"/>
      <c r="H10" s="1"/>
    </row>
    <row r="11" spans="1:11" ht="81" customHeight="1" x14ac:dyDescent="0.2">
      <c r="A11" s="48" t="s">
        <v>179</v>
      </c>
      <c r="B11" s="49" t="s">
        <v>180</v>
      </c>
      <c r="C11" s="49" t="s">
        <v>181</v>
      </c>
      <c r="D11" s="47"/>
      <c r="E11" s="47"/>
      <c r="F11" s="47"/>
      <c r="G11" s="47"/>
    </row>
    <row r="12" spans="1:11" ht="13.5" x14ac:dyDescent="0.2">
      <c r="A12" s="49"/>
      <c r="B12" s="49"/>
      <c r="C12" s="49"/>
      <c r="D12" s="47"/>
      <c r="E12" s="47"/>
      <c r="F12" s="47"/>
      <c r="G12" s="47"/>
      <c r="H12" s="53"/>
    </row>
    <row r="13" spans="1:11" ht="6.75" customHeight="1" x14ac:dyDescent="0.2"/>
    <row r="14" spans="1:11" ht="28.5" customHeight="1" x14ac:dyDescent="0.2">
      <c r="A14" s="168" t="s">
        <v>183</v>
      </c>
      <c r="B14" s="168"/>
      <c r="C14" s="168"/>
      <c r="D14" s="54"/>
      <c r="E14" s="54"/>
      <c r="F14" s="54"/>
      <c r="G14" s="54"/>
      <c r="H14" s="54"/>
    </row>
  </sheetData>
  <mergeCells count="5">
    <mergeCell ref="A14:C14"/>
    <mergeCell ref="E6:K6"/>
    <mergeCell ref="A6:B6"/>
    <mergeCell ref="C6:D6"/>
    <mergeCell ref="A8:D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topLeftCell="A53" zoomScaleNormal="100" workbookViewId="0">
      <selection activeCell="H71" sqref="H71"/>
    </sheetView>
  </sheetViews>
  <sheetFormatPr baseColWidth="10" defaultRowHeight="15" x14ac:dyDescent="0.25"/>
  <cols>
    <col min="1" max="2" width="11.42578125" style="19"/>
    <col min="3" max="3" width="15.5703125" style="19" customWidth="1"/>
    <col min="4" max="4" width="8.85546875" style="19" customWidth="1"/>
    <col min="5" max="5" width="9.85546875" style="19" customWidth="1"/>
    <col min="6" max="6" width="10.7109375" style="19" customWidth="1"/>
    <col min="7" max="8" width="11.42578125" style="19"/>
    <col min="9" max="9" width="16.5703125" style="19" customWidth="1"/>
    <col min="10" max="10" width="6.42578125" style="19" customWidth="1"/>
    <col min="11" max="12" width="11.42578125" style="19"/>
    <col min="13" max="13" width="17.42578125" style="19" customWidth="1"/>
    <col min="14" max="16" width="11.42578125" style="19"/>
    <col min="17" max="17" width="17.42578125" style="19" customWidth="1"/>
    <col min="18" max="16384" width="11.42578125" style="19"/>
  </cols>
  <sheetData>
    <row r="1" spans="1:17" ht="45.75" customHeight="1" x14ac:dyDescent="0.25">
      <c r="A1" s="181" t="s">
        <v>34</v>
      </c>
      <c r="B1" s="182"/>
      <c r="C1" s="182"/>
      <c r="D1" s="182"/>
      <c r="E1" s="183"/>
      <c r="F1" s="177" t="s">
        <v>142</v>
      </c>
      <c r="G1" s="177"/>
      <c r="H1" s="177"/>
      <c r="I1" s="177"/>
      <c r="J1" s="177" t="s">
        <v>143</v>
      </c>
      <c r="K1" s="177"/>
      <c r="L1" s="177"/>
      <c r="M1" s="177"/>
      <c r="N1" s="177" t="s">
        <v>144</v>
      </c>
      <c r="O1" s="177"/>
      <c r="P1" s="177"/>
      <c r="Q1" s="177"/>
    </row>
    <row r="2" spans="1:17" ht="39" customHeight="1" x14ac:dyDescent="0.25">
      <c r="A2" s="187" t="s">
        <v>133</v>
      </c>
      <c r="B2" s="187"/>
      <c r="C2" s="187"/>
      <c r="D2" s="25" t="s">
        <v>134</v>
      </c>
      <c r="E2" s="25" t="s">
        <v>135</v>
      </c>
      <c r="F2" s="25" t="s">
        <v>139</v>
      </c>
      <c r="G2" s="25" t="s">
        <v>140</v>
      </c>
      <c r="H2" s="25" t="s">
        <v>193</v>
      </c>
      <c r="I2" s="25" t="s">
        <v>176</v>
      </c>
      <c r="J2" s="25" t="s">
        <v>138</v>
      </c>
      <c r="K2" s="25" t="s">
        <v>141</v>
      </c>
      <c r="L2" s="25" t="s">
        <v>193</v>
      </c>
      <c r="M2" s="25" t="s">
        <v>176</v>
      </c>
      <c r="N2" s="25" t="s">
        <v>136</v>
      </c>
      <c r="O2" s="25" t="s">
        <v>141</v>
      </c>
      <c r="P2" s="25" t="s">
        <v>193</v>
      </c>
      <c r="Q2" s="25" t="s">
        <v>176</v>
      </c>
    </row>
    <row r="3" spans="1:17" x14ac:dyDescent="0.25">
      <c r="A3" s="25" t="s">
        <v>35</v>
      </c>
      <c r="B3" s="25" t="s">
        <v>36</v>
      </c>
      <c r="C3" s="25" t="s">
        <v>37</v>
      </c>
      <c r="D3" s="26"/>
      <c r="E3" s="26"/>
      <c r="F3" s="26"/>
      <c r="G3" s="25"/>
      <c r="H3" s="25"/>
      <c r="I3" s="25"/>
      <c r="J3" s="26"/>
      <c r="K3" s="25"/>
      <c r="L3" s="25"/>
      <c r="M3" s="25"/>
      <c r="N3" s="26"/>
      <c r="O3" s="25"/>
      <c r="P3" s="25"/>
      <c r="Q3" s="25"/>
    </row>
    <row r="4" spans="1:17" x14ac:dyDescent="0.25">
      <c r="A4" s="27" t="s">
        <v>38</v>
      </c>
      <c r="B4" s="27" t="s">
        <v>39</v>
      </c>
      <c r="C4" s="27" t="s">
        <v>40</v>
      </c>
      <c r="D4" s="28">
        <v>100</v>
      </c>
      <c r="E4" s="28"/>
      <c r="F4" s="28">
        <v>1</v>
      </c>
      <c r="G4" s="92">
        <v>253000</v>
      </c>
      <c r="H4" s="92">
        <f>+G4*0.16</f>
        <v>40480</v>
      </c>
      <c r="I4" s="92">
        <f>+G4+H4</f>
        <v>293480</v>
      </c>
      <c r="J4" s="28">
        <v>2</v>
      </c>
      <c r="K4" s="92">
        <f>+(G4*3.66/100)+G4</f>
        <v>262259.8</v>
      </c>
      <c r="L4" s="92">
        <f>+K4*0.16</f>
        <v>41961.567999999999</v>
      </c>
      <c r="M4" s="92">
        <f>+(K4+L4)*2</f>
        <v>608442.73600000003</v>
      </c>
      <c r="N4" s="28">
        <v>1</v>
      </c>
      <c r="O4" s="92">
        <f>+(K4*3.66/100)+K4</f>
        <v>271858.50867999997</v>
      </c>
      <c r="P4" s="92">
        <f>+O4*0.16</f>
        <v>43497.361388799996</v>
      </c>
      <c r="Q4" s="92">
        <f>+(O4+P4)</f>
        <v>315355.87006879994</v>
      </c>
    </row>
    <row r="5" spans="1:17" ht="60" customHeight="1" x14ac:dyDescent="0.25">
      <c r="A5" s="27" t="s">
        <v>41</v>
      </c>
      <c r="B5" s="27" t="s">
        <v>42</v>
      </c>
      <c r="C5" s="27" t="s">
        <v>43</v>
      </c>
      <c r="D5" s="28">
        <v>66.510000000000005</v>
      </c>
      <c r="E5" s="28"/>
      <c r="F5" s="28">
        <v>1</v>
      </c>
      <c r="G5" s="92">
        <v>168270.3</v>
      </c>
      <c r="H5" s="92">
        <f t="shared" ref="H5:H43" si="0">+G5*0.16</f>
        <v>26923.248</v>
      </c>
      <c r="I5" s="92">
        <f t="shared" ref="I5:I43" si="1">+G5+H5</f>
        <v>195193.54799999998</v>
      </c>
      <c r="J5" s="28">
        <v>2</v>
      </c>
      <c r="K5" s="92">
        <f t="shared" ref="K5:K43" si="2">+(G5*3.66/100)+G5</f>
        <v>174428.99297999998</v>
      </c>
      <c r="L5" s="92">
        <f t="shared" ref="L5:L43" si="3">+K5*0.16</f>
        <v>27908.638876799996</v>
      </c>
      <c r="M5" s="92">
        <f t="shared" ref="M5:M43" si="4">+(K5+L5)*2</f>
        <v>404675.26371359994</v>
      </c>
      <c r="N5" s="28">
        <v>1</v>
      </c>
      <c r="O5" s="92">
        <f t="shared" ref="O5:O43" si="5">+(K5*3.66/100)+K5</f>
        <v>180813.09412306797</v>
      </c>
      <c r="P5" s="92">
        <f t="shared" ref="P5:P43" si="6">+O5*0.16</f>
        <v>28930.095059690877</v>
      </c>
      <c r="Q5" s="92">
        <f t="shared" ref="Q5:Q43" si="7">+(O5+P5)</f>
        <v>209743.18918275886</v>
      </c>
    </row>
    <row r="6" spans="1:17" ht="60" customHeight="1" x14ac:dyDescent="0.25">
      <c r="A6" s="27" t="s">
        <v>44</v>
      </c>
      <c r="B6" s="27" t="s">
        <v>45</v>
      </c>
      <c r="C6" s="27" t="s">
        <v>46</v>
      </c>
      <c r="D6" s="28">
        <v>72.31</v>
      </c>
      <c r="E6" s="28"/>
      <c r="F6" s="28">
        <v>1</v>
      </c>
      <c r="G6" s="92">
        <v>182944</v>
      </c>
      <c r="H6" s="92">
        <f t="shared" si="0"/>
        <v>29271.040000000001</v>
      </c>
      <c r="I6" s="92">
        <f t="shared" si="1"/>
        <v>212215.04000000001</v>
      </c>
      <c r="J6" s="28">
        <v>2</v>
      </c>
      <c r="K6" s="92">
        <f t="shared" si="2"/>
        <v>189639.75039999999</v>
      </c>
      <c r="L6" s="92">
        <f t="shared" si="3"/>
        <v>30342.360064</v>
      </c>
      <c r="M6" s="92">
        <f t="shared" si="4"/>
        <v>439964.220928</v>
      </c>
      <c r="N6" s="28">
        <v>1</v>
      </c>
      <c r="O6" s="92">
        <f t="shared" si="5"/>
        <v>196580.56526464</v>
      </c>
      <c r="P6" s="92">
        <f t="shared" si="6"/>
        <v>31452.890442342399</v>
      </c>
      <c r="Q6" s="92">
        <f t="shared" si="7"/>
        <v>228033.45570698241</v>
      </c>
    </row>
    <row r="7" spans="1:17" ht="72" customHeight="1" x14ac:dyDescent="0.25">
      <c r="A7" s="27" t="s">
        <v>47</v>
      </c>
      <c r="B7" s="27" t="s">
        <v>48</v>
      </c>
      <c r="C7" s="27" t="s">
        <v>49</v>
      </c>
      <c r="D7" s="28">
        <v>149.63</v>
      </c>
      <c r="E7" s="28"/>
      <c r="F7" s="28">
        <v>1</v>
      </c>
      <c r="G7" s="92">
        <v>378564</v>
      </c>
      <c r="H7" s="92">
        <f t="shared" si="0"/>
        <v>60570.239999999998</v>
      </c>
      <c r="I7" s="92">
        <f t="shared" si="1"/>
        <v>439134.24</v>
      </c>
      <c r="J7" s="28">
        <v>2</v>
      </c>
      <c r="K7" s="92">
        <f t="shared" si="2"/>
        <v>392419.4424</v>
      </c>
      <c r="L7" s="92">
        <f t="shared" si="3"/>
        <v>62787.110784000004</v>
      </c>
      <c r="M7" s="92">
        <f t="shared" si="4"/>
        <v>910413.10636800004</v>
      </c>
      <c r="N7" s="28">
        <v>1</v>
      </c>
      <c r="O7" s="92">
        <f t="shared" si="5"/>
        <v>406781.99399183999</v>
      </c>
      <c r="P7" s="92">
        <f t="shared" si="6"/>
        <v>65085.1190386944</v>
      </c>
      <c r="Q7" s="92">
        <f t="shared" si="7"/>
        <v>471867.11303053441</v>
      </c>
    </row>
    <row r="8" spans="1:17" ht="60" customHeight="1" x14ac:dyDescent="0.25">
      <c r="A8" s="27" t="s">
        <v>50</v>
      </c>
      <c r="B8" s="27" t="s">
        <v>51</v>
      </c>
      <c r="C8" s="27" t="s">
        <v>52</v>
      </c>
      <c r="D8" s="28">
        <v>90</v>
      </c>
      <c r="E8" s="28"/>
      <c r="F8" s="28">
        <v>1</v>
      </c>
      <c r="G8" s="92">
        <v>227700</v>
      </c>
      <c r="H8" s="92"/>
      <c r="I8" s="92">
        <f t="shared" si="1"/>
        <v>227700</v>
      </c>
      <c r="J8" s="28">
        <v>2</v>
      </c>
      <c r="K8" s="92">
        <f t="shared" si="2"/>
        <v>236033.82</v>
      </c>
      <c r="L8" s="92"/>
      <c r="M8" s="92">
        <f t="shared" si="4"/>
        <v>472067.64</v>
      </c>
      <c r="N8" s="28">
        <v>1</v>
      </c>
      <c r="O8" s="92">
        <f t="shared" si="5"/>
        <v>244672.65781200002</v>
      </c>
      <c r="P8" s="92"/>
      <c r="Q8" s="92">
        <f t="shared" si="7"/>
        <v>244672.65781200002</v>
      </c>
    </row>
    <row r="9" spans="1:17" ht="72" customHeight="1" x14ac:dyDescent="0.25">
      <c r="A9" s="27" t="s">
        <v>53</v>
      </c>
      <c r="B9" s="27" t="s">
        <v>54</v>
      </c>
      <c r="C9" s="27" t="s">
        <v>55</v>
      </c>
      <c r="D9" s="28">
        <v>250</v>
      </c>
      <c r="E9" s="28"/>
      <c r="F9" s="28">
        <v>1</v>
      </c>
      <c r="G9" s="92">
        <v>632500</v>
      </c>
      <c r="H9" s="92">
        <f t="shared" si="0"/>
        <v>101200</v>
      </c>
      <c r="I9" s="92">
        <f t="shared" si="1"/>
        <v>733700</v>
      </c>
      <c r="J9" s="28">
        <v>2</v>
      </c>
      <c r="K9" s="92">
        <f t="shared" si="2"/>
        <v>655649.5</v>
      </c>
      <c r="L9" s="92">
        <f t="shared" si="3"/>
        <v>104903.92</v>
      </c>
      <c r="M9" s="92">
        <f t="shared" si="4"/>
        <v>1521106.84</v>
      </c>
      <c r="N9" s="28">
        <v>1</v>
      </c>
      <c r="O9" s="92">
        <f t="shared" si="5"/>
        <v>679646.27170000004</v>
      </c>
      <c r="P9" s="92">
        <f t="shared" si="6"/>
        <v>108743.40347200001</v>
      </c>
      <c r="Q9" s="92">
        <f t="shared" si="7"/>
        <v>788389.67517200008</v>
      </c>
    </row>
    <row r="10" spans="1:17" ht="72" customHeight="1" x14ac:dyDescent="0.25">
      <c r="A10" s="27" t="s">
        <v>56</v>
      </c>
      <c r="B10" s="27" t="s">
        <v>57</v>
      </c>
      <c r="C10" s="27" t="s">
        <v>58</v>
      </c>
      <c r="D10" s="28">
        <v>100</v>
      </c>
      <c r="E10" s="28"/>
      <c r="F10" s="28">
        <v>1</v>
      </c>
      <c r="G10" s="92">
        <v>253000</v>
      </c>
      <c r="H10" s="92">
        <f t="shared" si="0"/>
        <v>40480</v>
      </c>
      <c r="I10" s="92">
        <f t="shared" si="1"/>
        <v>293480</v>
      </c>
      <c r="J10" s="28">
        <v>2</v>
      </c>
      <c r="K10" s="92">
        <f t="shared" si="2"/>
        <v>262259.8</v>
      </c>
      <c r="L10" s="92">
        <f t="shared" si="3"/>
        <v>41961.567999999999</v>
      </c>
      <c r="M10" s="92">
        <f t="shared" si="4"/>
        <v>608442.73600000003</v>
      </c>
      <c r="N10" s="28">
        <v>1</v>
      </c>
      <c r="O10" s="92">
        <f t="shared" si="5"/>
        <v>271858.50867999997</v>
      </c>
      <c r="P10" s="92">
        <f t="shared" si="6"/>
        <v>43497.361388799996</v>
      </c>
      <c r="Q10" s="92">
        <f t="shared" si="7"/>
        <v>315355.87006879994</v>
      </c>
    </row>
    <row r="11" spans="1:17" ht="60" customHeight="1" x14ac:dyDescent="0.25">
      <c r="A11" s="27" t="s">
        <v>59</v>
      </c>
      <c r="B11" s="27" t="s">
        <v>60</v>
      </c>
      <c r="C11" s="27" t="s">
        <v>61</v>
      </c>
      <c r="D11" s="28">
        <v>64.19</v>
      </c>
      <c r="E11" s="28"/>
      <c r="F11" s="28">
        <v>1</v>
      </c>
      <c r="G11" s="92">
        <v>162401</v>
      </c>
      <c r="H11" s="92">
        <f t="shared" si="0"/>
        <v>25984.16</v>
      </c>
      <c r="I11" s="92">
        <f t="shared" si="1"/>
        <v>188385.16</v>
      </c>
      <c r="J11" s="28">
        <v>2</v>
      </c>
      <c r="K11" s="92">
        <f t="shared" si="2"/>
        <v>168344.87659999999</v>
      </c>
      <c r="L11" s="92">
        <f t="shared" si="3"/>
        <v>26935.180256</v>
      </c>
      <c r="M11" s="92">
        <f t="shared" si="4"/>
        <v>390560.11371199996</v>
      </c>
      <c r="N11" s="28">
        <v>1</v>
      </c>
      <c r="O11" s="92">
        <f t="shared" si="5"/>
        <v>174506.29908355998</v>
      </c>
      <c r="P11" s="92">
        <f t="shared" si="6"/>
        <v>27921.007853369596</v>
      </c>
      <c r="Q11" s="92">
        <f t="shared" si="7"/>
        <v>202427.30693692958</v>
      </c>
    </row>
    <row r="12" spans="1:17" ht="60" customHeight="1" x14ac:dyDescent="0.25">
      <c r="A12" s="27" t="s">
        <v>62</v>
      </c>
      <c r="B12" s="27" t="s">
        <v>63</v>
      </c>
      <c r="C12" s="27" t="s">
        <v>64</v>
      </c>
      <c r="D12" s="28">
        <v>85.09</v>
      </c>
      <c r="E12" s="28"/>
      <c r="F12" s="28">
        <v>1</v>
      </c>
      <c r="G12" s="92">
        <v>215278</v>
      </c>
      <c r="H12" s="92">
        <f t="shared" si="0"/>
        <v>34444.480000000003</v>
      </c>
      <c r="I12" s="92">
        <f t="shared" si="1"/>
        <v>249722.48</v>
      </c>
      <c r="J12" s="28">
        <v>2</v>
      </c>
      <c r="K12" s="92">
        <f t="shared" si="2"/>
        <v>223157.17480000001</v>
      </c>
      <c r="L12" s="92">
        <f t="shared" si="3"/>
        <v>35705.147968000005</v>
      </c>
      <c r="M12" s="92">
        <f t="shared" si="4"/>
        <v>517724.64553600003</v>
      </c>
      <c r="N12" s="28">
        <v>1</v>
      </c>
      <c r="O12" s="92">
        <f t="shared" si="5"/>
        <v>231324.72739768002</v>
      </c>
      <c r="P12" s="92">
        <f t="shared" si="6"/>
        <v>37011.956383628807</v>
      </c>
      <c r="Q12" s="92">
        <f t="shared" si="7"/>
        <v>268336.68378130882</v>
      </c>
    </row>
    <row r="13" spans="1:17" ht="24" customHeight="1" x14ac:dyDescent="0.25">
      <c r="A13" s="27" t="s">
        <v>65</v>
      </c>
      <c r="B13" s="27" t="s">
        <v>66</v>
      </c>
      <c r="C13" s="27" t="s">
        <v>67</v>
      </c>
      <c r="D13" s="28">
        <v>100</v>
      </c>
      <c r="E13" s="28"/>
      <c r="F13" s="28">
        <v>1</v>
      </c>
      <c r="G13" s="92">
        <v>253000</v>
      </c>
      <c r="H13" s="92">
        <f t="shared" si="0"/>
        <v>40480</v>
      </c>
      <c r="I13" s="92">
        <f t="shared" si="1"/>
        <v>293480</v>
      </c>
      <c r="J13" s="28">
        <v>2</v>
      </c>
      <c r="K13" s="92">
        <f t="shared" si="2"/>
        <v>262259.8</v>
      </c>
      <c r="L13" s="92">
        <f t="shared" si="3"/>
        <v>41961.567999999999</v>
      </c>
      <c r="M13" s="92">
        <f t="shared" si="4"/>
        <v>608442.73600000003</v>
      </c>
      <c r="N13" s="28">
        <v>1</v>
      </c>
      <c r="O13" s="92">
        <f t="shared" si="5"/>
        <v>271858.50867999997</v>
      </c>
      <c r="P13" s="92">
        <f t="shared" si="6"/>
        <v>43497.361388799996</v>
      </c>
      <c r="Q13" s="92">
        <f t="shared" si="7"/>
        <v>315355.87006879994</v>
      </c>
    </row>
    <row r="14" spans="1:17" ht="66" customHeight="1" x14ac:dyDescent="0.25">
      <c r="A14" s="27" t="s">
        <v>68</v>
      </c>
      <c r="B14" s="27" t="s">
        <v>69</v>
      </c>
      <c r="C14" s="27" t="s">
        <v>70</v>
      </c>
      <c r="D14" s="28">
        <v>74.92</v>
      </c>
      <c r="E14" s="28"/>
      <c r="F14" s="28">
        <v>1</v>
      </c>
      <c r="G14" s="92">
        <v>189548</v>
      </c>
      <c r="H14" s="92">
        <f t="shared" si="0"/>
        <v>30327.68</v>
      </c>
      <c r="I14" s="92">
        <f t="shared" si="1"/>
        <v>219875.68</v>
      </c>
      <c r="J14" s="28">
        <v>2</v>
      </c>
      <c r="K14" s="92">
        <f t="shared" si="2"/>
        <v>196485.45680000001</v>
      </c>
      <c r="L14" s="92">
        <f t="shared" si="3"/>
        <v>31437.673088000003</v>
      </c>
      <c r="M14" s="92">
        <f t="shared" si="4"/>
        <v>455846.25977600005</v>
      </c>
      <c r="N14" s="28">
        <v>1</v>
      </c>
      <c r="O14" s="92">
        <f t="shared" si="5"/>
        <v>203676.82451888002</v>
      </c>
      <c r="P14" s="92">
        <f t="shared" si="6"/>
        <v>32588.291923020803</v>
      </c>
      <c r="Q14" s="92">
        <f t="shared" si="7"/>
        <v>236265.11644190081</v>
      </c>
    </row>
    <row r="15" spans="1:17" ht="84" x14ac:dyDescent="0.25">
      <c r="A15" s="27" t="s">
        <v>71</v>
      </c>
      <c r="B15" s="27" t="s">
        <v>72</v>
      </c>
      <c r="C15" s="27" t="s">
        <v>73</v>
      </c>
      <c r="D15" s="28">
        <v>100</v>
      </c>
      <c r="E15" s="28"/>
      <c r="F15" s="28">
        <v>1</v>
      </c>
      <c r="G15" s="92">
        <v>253000</v>
      </c>
      <c r="H15" s="92">
        <v>0</v>
      </c>
      <c r="I15" s="92">
        <f t="shared" si="1"/>
        <v>253000</v>
      </c>
      <c r="J15" s="28">
        <v>2</v>
      </c>
      <c r="K15" s="92">
        <f t="shared" si="2"/>
        <v>262259.8</v>
      </c>
      <c r="L15" s="92">
        <v>0</v>
      </c>
      <c r="M15" s="92">
        <f t="shared" si="4"/>
        <v>524519.6</v>
      </c>
      <c r="N15" s="28">
        <v>1</v>
      </c>
      <c r="O15" s="92">
        <f t="shared" si="5"/>
        <v>271858.50867999997</v>
      </c>
      <c r="P15" s="92">
        <v>0</v>
      </c>
      <c r="Q15" s="92">
        <f t="shared" si="7"/>
        <v>271858.50867999997</v>
      </c>
    </row>
    <row r="16" spans="1:17" ht="36" customHeight="1" x14ac:dyDescent="0.25">
      <c r="A16" s="27" t="s">
        <v>74</v>
      </c>
      <c r="B16" s="27" t="s">
        <v>75</v>
      </c>
      <c r="C16" s="27" t="s">
        <v>76</v>
      </c>
      <c r="D16" s="28">
        <v>165.45</v>
      </c>
      <c r="E16" s="28"/>
      <c r="F16" s="28">
        <v>1</v>
      </c>
      <c r="G16" s="92">
        <v>418589</v>
      </c>
      <c r="H16" s="92">
        <f t="shared" si="0"/>
        <v>66974.240000000005</v>
      </c>
      <c r="I16" s="92">
        <f t="shared" si="1"/>
        <v>485563.24</v>
      </c>
      <c r="J16" s="28">
        <v>2</v>
      </c>
      <c r="K16" s="92">
        <f t="shared" si="2"/>
        <v>433909.35739999998</v>
      </c>
      <c r="L16" s="92">
        <f t="shared" si="3"/>
        <v>69425.497183999993</v>
      </c>
      <c r="M16" s="92">
        <f t="shared" si="4"/>
        <v>1006669.7091679999</v>
      </c>
      <c r="N16" s="28">
        <v>1</v>
      </c>
      <c r="O16" s="92">
        <f t="shared" si="5"/>
        <v>449790.43988083996</v>
      </c>
      <c r="P16" s="92">
        <f t="shared" si="6"/>
        <v>71966.470380934392</v>
      </c>
      <c r="Q16" s="92">
        <f t="shared" si="7"/>
        <v>521756.91026177432</v>
      </c>
    </row>
    <row r="17" spans="1:17" ht="60" customHeight="1" x14ac:dyDescent="0.25">
      <c r="A17" s="27" t="s">
        <v>74</v>
      </c>
      <c r="B17" s="27" t="s">
        <v>77</v>
      </c>
      <c r="C17" s="27" t="s">
        <v>78</v>
      </c>
      <c r="D17" s="28" t="s">
        <v>79</v>
      </c>
      <c r="E17" s="28"/>
      <c r="F17" s="28">
        <v>1</v>
      </c>
      <c r="G17" s="92">
        <v>85059</v>
      </c>
      <c r="H17" s="92">
        <f t="shared" si="0"/>
        <v>13609.44</v>
      </c>
      <c r="I17" s="92">
        <f t="shared" si="1"/>
        <v>98668.44</v>
      </c>
      <c r="J17" s="28">
        <v>2</v>
      </c>
      <c r="K17" s="92">
        <f t="shared" si="2"/>
        <v>88172.159400000004</v>
      </c>
      <c r="L17" s="92">
        <f t="shared" si="3"/>
        <v>14107.545504000002</v>
      </c>
      <c r="M17" s="92">
        <f t="shared" si="4"/>
        <v>204559.40980800003</v>
      </c>
      <c r="N17" s="28">
        <v>1</v>
      </c>
      <c r="O17" s="92">
        <f t="shared" si="5"/>
        <v>91399.260434039999</v>
      </c>
      <c r="P17" s="92">
        <f t="shared" si="6"/>
        <v>14623.8816694464</v>
      </c>
      <c r="Q17" s="92">
        <f t="shared" si="7"/>
        <v>106023.1421034864</v>
      </c>
    </row>
    <row r="18" spans="1:17" ht="48" x14ac:dyDescent="0.25">
      <c r="A18" s="27" t="s">
        <v>80</v>
      </c>
      <c r="B18" s="27" t="s">
        <v>81</v>
      </c>
      <c r="C18" s="27" t="s">
        <v>82</v>
      </c>
      <c r="D18" s="28">
        <v>109.63</v>
      </c>
      <c r="E18" s="28"/>
      <c r="F18" s="28">
        <v>1</v>
      </c>
      <c r="G18" s="92">
        <v>277364</v>
      </c>
      <c r="H18" s="92">
        <f t="shared" si="0"/>
        <v>44378.239999999998</v>
      </c>
      <c r="I18" s="92">
        <f t="shared" si="1"/>
        <v>321742.24</v>
      </c>
      <c r="J18" s="28">
        <v>2</v>
      </c>
      <c r="K18" s="92">
        <f t="shared" si="2"/>
        <v>287515.52240000002</v>
      </c>
      <c r="L18" s="92">
        <f t="shared" si="3"/>
        <v>46002.483584000001</v>
      </c>
      <c r="M18" s="92">
        <f t="shared" si="4"/>
        <v>667036.01196800009</v>
      </c>
      <c r="N18" s="28">
        <v>1</v>
      </c>
      <c r="O18" s="92">
        <f t="shared" si="5"/>
        <v>298038.59051984001</v>
      </c>
      <c r="P18" s="92">
        <f t="shared" si="6"/>
        <v>47686.1744831744</v>
      </c>
      <c r="Q18" s="92">
        <f t="shared" si="7"/>
        <v>345724.76500301441</v>
      </c>
    </row>
    <row r="19" spans="1:17" ht="24" x14ac:dyDescent="0.25">
      <c r="A19" s="27" t="s">
        <v>83</v>
      </c>
      <c r="B19" s="27" t="s">
        <v>84</v>
      </c>
      <c r="C19" s="27" t="s">
        <v>85</v>
      </c>
      <c r="D19" s="28">
        <v>472.02</v>
      </c>
      <c r="E19" s="28">
        <v>139.32</v>
      </c>
      <c r="F19" s="28">
        <v>1</v>
      </c>
      <c r="G19" s="92">
        <v>1194211</v>
      </c>
      <c r="H19" s="92">
        <f t="shared" si="0"/>
        <v>191073.76</v>
      </c>
      <c r="I19" s="92">
        <f t="shared" si="1"/>
        <v>1385284.76</v>
      </c>
      <c r="J19" s="28">
        <v>2</v>
      </c>
      <c r="K19" s="92">
        <f t="shared" si="2"/>
        <v>1237919.1225999999</v>
      </c>
      <c r="L19" s="92">
        <f t="shared" si="3"/>
        <v>198067.05961599998</v>
      </c>
      <c r="M19" s="92">
        <f t="shared" si="4"/>
        <v>2871972.3644319996</v>
      </c>
      <c r="N19" s="28">
        <v>1</v>
      </c>
      <c r="O19" s="92">
        <f t="shared" si="5"/>
        <v>1283226.96248716</v>
      </c>
      <c r="P19" s="92">
        <f t="shared" si="6"/>
        <v>205316.3139979456</v>
      </c>
      <c r="Q19" s="92">
        <f t="shared" si="7"/>
        <v>1488543.2764851055</v>
      </c>
    </row>
    <row r="20" spans="1:17" ht="48" customHeight="1" x14ac:dyDescent="0.25">
      <c r="A20" s="27" t="s">
        <v>74</v>
      </c>
      <c r="B20" s="27" t="s">
        <v>86</v>
      </c>
      <c r="C20" s="27" t="s">
        <v>87</v>
      </c>
      <c r="D20" s="28">
        <v>123.56</v>
      </c>
      <c r="E20" s="28"/>
      <c r="F20" s="28">
        <v>1</v>
      </c>
      <c r="G20" s="92">
        <v>312607</v>
      </c>
      <c r="H20" s="92">
        <f t="shared" si="0"/>
        <v>50017.120000000003</v>
      </c>
      <c r="I20" s="92">
        <f t="shared" si="1"/>
        <v>362624.12</v>
      </c>
      <c r="J20" s="28">
        <v>2</v>
      </c>
      <c r="K20" s="92">
        <f t="shared" si="2"/>
        <v>324048.41619999998</v>
      </c>
      <c r="L20" s="92">
        <f t="shared" si="3"/>
        <v>51847.746591999996</v>
      </c>
      <c r="M20" s="92">
        <f t="shared" si="4"/>
        <v>751792.32558399998</v>
      </c>
      <c r="N20" s="28">
        <v>1</v>
      </c>
      <c r="O20" s="92">
        <f t="shared" si="5"/>
        <v>335908.58823291998</v>
      </c>
      <c r="P20" s="92">
        <f t="shared" si="6"/>
        <v>53745.374117267202</v>
      </c>
      <c r="Q20" s="92">
        <f t="shared" si="7"/>
        <v>389653.96235018718</v>
      </c>
    </row>
    <row r="21" spans="1:17" ht="60" customHeight="1" x14ac:dyDescent="0.25">
      <c r="A21" s="27" t="s">
        <v>88</v>
      </c>
      <c r="B21" s="27" t="s">
        <v>89</v>
      </c>
      <c r="C21" s="27" t="s">
        <v>90</v>
      </c>
      <c r="D21" s="28">
        <v>100</v>
      </c>
      <c r="E21" s="28"/>
      <c r="F21" s="28">
        <v>1</v>
      </c>
      <c r="G21" s="92">
        <v>253000</v>
      </c>
      <c r="H21" s="92">
        <f t="shared" si="0"/>
        <v>40480</v>
      </c>
      <c r="I21" s="92">
        <f t="shared" si="1"/>
        <v>293480</v>
      </c>
      <c r="J21" s="28">
        <v>2</v>
      </c>
      <c r="K21" s="92">
        <f t="shared" si="2"/>
        <v>262259.8</v>
      </c>
      <c r="L21" s="92">
        <f t="shared" si="3"/>
        <v>41961.567999999999</v>
      </c>
      <c r="M21" s="92">
        <f t="shared" si="4"/>
        <v>608442.73600000003</v>
      </c>
      <c r="N21" s="28">
        <v>1</v>
      </c>
      <c r="O21" s="92">
        <f t="shared" si="5"/>
        <v>271858.50867999997</v>
      </c>
      <c r="P21" s="92">
        <f t="shared" si="6"/>
        <v>43497.361388799996</v>
      </c>
      <c r="Q21" s="92">
        <f t="shared" si="7"/>
        <v>315355.87006879994</v>
      </c>
    </row>
    <row r="22" spans="1:17" ht="36" customHeight="1" x14ac:dyDescent="0.25">
      <c r="A22" s="27" t="s">
        <v>91</v>
      </c>
      <c r="B22" s="27" t="s">
        <v>92</v>
      </c>
      <c r="C22" s="27" t="s">
        <v>93</v>
      </c>
      <c r="D22" s="28">
        <v>345.73</v>
      </c>
      <c r="E22" s="28"/>
      <c r="F22" s="28">
        <v>1</v>
      </c>
      <c r="G22" s="92">
        <v>874697</v>
      </c>
      <c r="H22" s="92">
        <f t="shared" si="0"/>
        <v>139951.51999999999</v>
      </c>
      <c r="I22" s="92">
        <f t="shared" si="1"/>
        <v>1014648.52</v>
      </c>
      <c r="J22" s="28">
        <v>2</v>
      </c>
      <c r="K22" s="92">
        <f t="shared" si="2"/>
        <v>906710.91020000004</v>
      </c>
      <c r="L22" s="92">
        <f t="shared" si="3"/>
        <v>145073.74563200001</v>
      </c>
      <c r="M22" s="92">
        <f t="shared" si="4"/>
        <v>2103569.3116640002</v>
      </c>
      <c r="N22" s="28">
        <v>1</v>
      </c>
      <c r="O22" s="92">
        <f t="shared" si="5"/>
        <v>939896.52951332007</v>
      </c>
      <c r="P22" s="92">
        <f t="shared" si="6"/>
        <v>150383.44472213121</v>
      </c>
      <c r="Q22" s="92">
        <f t="shared" si="7"/>
        <v>1090279.9742354513</v>
      </c>
    </row>
    <row r="23" spans="1:17" ht="72" customHeight="1" x14ac:dyDescent="0.25">
      <c r="A23" s="27" t="s">
        <v>94</v>
      </c>
      <c r="B23" s="27" t="s">
        <v>95</v>
      </c>
      <c r="C23" s="27" t="s">
        <v>96</v>
      </c>
      <c r="D23" s="28">
        <v>106.5</v>
      </c>
      <c r="E23" s="28"/>
      <c r="F23" s="28">
        <v>1</v>
      </c>
      <c r="G23" s="92">
        <v>269445</v>
      </c>
      <c r="H23" s="92">
        <f t="shared" si="0"/>
        <v>43111.200000000004</v>
      </c>
      <c r="I23" s="92">
        <f t="shared" si="1"/>
        <v>312556.2</v>
      </c>
      <c r="J23" s="28">
        <v>2</v>
      </c>
      <c r="K23" s="92">
        <f t="shared" si="2"/>
        <v>279306.68699999998</v>
      </c>
      <c r="L23" s="92">
        <f t="shared" si="3"/>
        <v>44689.069919999994</v>
      </c>
      <c r="M23" s="92">
        <f t="shared" si="4"/>
        <v>647991.51383999991</v>
      </c>
      <c r="N23" s="28">
        <v>1</v>
      </c>
      <c r="O23" s="92">
        <f t="shared" si="5"/>
        <v>289529.31174419995</v>
      </c>
      <c r="P23" s="92">
        <f t="shared" si="6"/>
        <v>46324.689879071993</v>
      </c>
      <c r="Q23" s="92">
        <f t="shared" si="7"/>
        <v>335854.00162327196</v>
      </c>
    </row>
    <row r="24" spans="1:17" ht="24" x14ac:dyDescent="0.25">
      <c r="A24" s="27" t="s">
        <v>97</v>
      </c>
      <c r="B24" s="27" t="s">
        <v>98</v>
      </c>
      <c r="C24" s="27" t="s">
        <v>99</v>
      </c>
      <c r="D24" s="28">
        <v>275.43</v>
      </c>
      <c r="E24" s="28"/>
      <c r="F24" s="28">
        <v>1</v>
      </c>
      <c r="G24" s="92">
        <v>696838</v>
      </c>
      <c r="H24" s="92">
        <f t="shared" si="0"/>
        <v>111494.08</v>
      </c>
      <c r="I24" s="92">
        <f t="shared" si="1"/>
        <v>808332.08</v>
      </c>
      <c r="J24" s="28">
        <v>2</v>
      </c>
      <c r="K24" s="92">
        <f t="shared" si="2"/>
        <v>722342.27080000006</v>
      </c>
      <c r="L24" s="92">
        <f t="shared" si="3"/>
        <v>115574.76332800002</v>
      </c>
      <c r="M24" s="92">
        <f t="shared" si="4"/>
        <v>1675834.0682560001</v>
      </c>
      <c r="N24" s="28">
        <v>1</v>
      </c>
      <c r="O24" s="92">
        <f t="shared" si="5"/>
        <v>748779.99791128002</v>
      </c>
      <c r="P24" s="92">
        <f t="shared" si="6"/>
        <v>119804.79966580481</v>
      </c>
      <c r="Q24" s="92">
        <f t="shared" si="7"/>
        <v>868584.79757708486</v>
      </c>
    </row>
    <row r="25" spans="1:17" ht="36" customHeight="1" x14ac:dyDescent="0.25">
      <c r="A25" s="27" t="s">
        <v>100</v>
      </c>
      <c r="B25" s="27" t="s">
        <v>101</v>
      </c>
      <c r="C25" s="27" t="s">
        <v>102</v>
      </c>
      <c r="D25" s="28">
        <v>100</v>
      </c>
      <c r="E25" s="28"/>
      <c r="F25" s="28">
        <v>1</v>
      </c>
      <c r="G25" s="92">
        <v>253000</v>
      </c>
      <c r="H25" s="92">
        <f t="shared" si="0"/>
        <v>40480</v>
      </c>
      <c r="I25" s="92">
        <f t="shared" si="1"/>
        <v>293480</v>
      </c>
      <c r="J25" s="28">
        <v>2</v>
      </c>
      <c r="K25" s="92">
        <f t="shared" si="2"/>
        <v>262259.8</v>
      </c>
      <c r="L25" s="92">
        <f t="shared" si="3"/>
        <v>41961.567999999999</v>
      </c>
      <c r="M25" s="92">
        <f t="shared" si="4"/>
        <v>608442.73600000003</v>
      </c>
      <c r="N25" s="28">
        <v>1</v>
      </c>
      <c r="O25" s="92">
        <f t="shared" si="5"/>
        <v>271858.50867999997</v>
      </c>
      <c r="P25" s="92">
        <f t="shared" si="6"/>
        <v>43497.361388799996</v>
      </c>
      <c r="Q25" s="92">
        <f t="shared" si="7"/>
        <v>315355.87006879994</v>
      </c>
    </row>
    <row r="26" spans="1:17" ht="57" customHeight="1" x14ac:dyDescent="0.25">
      <c r="A26" s="27" t="s">
        <v>103</v>
      </c>
      <c r="B26" s="27" t="s">
        <v>104</v>
      </c>
      <c r="C26" s="27" t="s">
        <v>105</v>
      </c>
      <c r="D26" s="28">
        <v>110.2</v>
      </c>
      <c r="E26" s="28"/>
      <c r="F26" s="28">
        <v>1</v>
      </c>
      <c r="G26" s="92">
        <v>278806</v>
      </c>
      <c r="H26" s="92">
        <f t="shared" si="0"/>
        <v>44608.959999999999</v>
      </c>
      <c r="I26" s="92">
        <f t="shared" si="1"/>
        <v>323414.96000000002</v>
      </c>
      <c r="J26" s="28">
        <v>2</v>
      </c>
      <c r="K26" s="92">
        <f t="shared" si="2"/>
        <v>289010.29960000003</v>
      </c>
      <c r="L26" s="92">
        <f t="shared" si="3"/>
        <v>46241.647936000008</v>
      </c>
      <c r="M26" s="92">
        <f t="shared" si="4"/>
        <v>670503.8950720001</v>
      </c>
      <c r="N26" s="28">
        <v>1</v>
      </c>
      <c r="O26" s="92">
        <f t="shared" si="5"/>
        <v>299588.07656536001</v>
      </c>
      <c r="P26" s="92">
        <f t="shared" si="6"/>
        <v>47934.092250457601</v>
      </c>
      <c r="Q26" s="92">
        <f t="shared" si="7"/>
        <v>347522.16881581763</v>
      </c>
    </row>
    <row r="27" spans="1:17" ht="60" customHeight="1" x14ac:dyDescent="0.25">
      <c r="A27" s="27" t="s">
        <v>106</v>
      </c>
      <c r="B27" s="27" t="s">
        <v>107</v>
      </c>
      <c r="C27" s="27" t="s">
        <v>108</v>
      </c>
      <c r="D27" s="28">
        <v>270.63</v>
      </c>
      <c r="E27" s="28"/>
      <c r="F27" s="28">
        <v>1</v>
      </c>
      <c r="G27" s="92">
        <v>684694</v>
      </c>
      <c r="H27" s="92">
        <f t="shared" si="0"/>
        <v>109551.04000000001</v>
      </c>
      <c r="I27" s="92">
        <f t="shared" si="1"/>
        <v>794245.04</v>
      </c>
      <c r="J27" s="28">
        <v>2</v>
      </c>
      <c r="K27" s="92">
        <f t="shared" si="2"/>
        <v>709753.80039999995</v>
      </c>
      <c r="L27" s="92">
        <f t="shared" si="3"/>
        <v>113560.608064</v>
      </c>
      <c r="M27" s="92">
        <f t="shared" si="4"/>
        <v>1646628.816928</v>
      </c>
      <c r="N27" s="28">
        <v>1</v>
      </c>
      <c r="O27" s="92">
        <f t="shared" si="5"/>
        <v>735730.78949463996</v>
      </c>
      <c r="P27" s="92">
        <f t="shared" si="6"/>
        <v>117716.9263191424</v>
      </c>
      <c r="Q27" s="92">
        <f t="shared" si="7"/>
        <v>853447.7158137823</v>
      </c>
    </row>
    <row r="28" spans="1:17" ht="60" customHeight="1" x14ac:dyDescent="0.25">
      <c r="A28" s="27" t="s">
        <v>109</v>
      </c>
      <c r="B28" s="27" t="s">
        <v>110</v>
      </c>
      <c r="C28" s="27" t="s">
        <v>111</v>
      </c>
      <c r="D28" s="28">
        <v>157.72999999999999</v>
      </c>
      <c r="E28" s="28"/>
      <c r="F28" s="28">
        <v>1</v>
      </c>
      <c r="G28" s="92">
        <v>399057</v>
      </c>
      <c r="H28" s="92">
        <f t="shared" si="0"/>
        <v>63849.120000000003</v>
      </c>
      <c r="I28" s="92">
        <f t="shared" si="1"/>
        <v>462906.12</v>
      </c>
      <c r="J28" s="28">
        <v>2</v>
      </c>
      <c r="K28" s="92">
        <f t="shared" si="2"/>
        <v>413662.48619999998</v>
      </c>
      <c r="L28" s="92">
        <f t="shared" si="3"/>
        <v>66185.997791999995</v>
      </c>
      <c r="M28" s="92">
        <f t="shared" si="4"/>
        <v>959696.96798399999</v>
      </c>
      <c r="N28" s="28">
        <v>1</v>
      </c>
      <c r="O28" s="92">
        <f t="shared" si="5"/>
        <v>428802.53319491999</v>
      </c>
      <c r="P28" s="92">
        <f t="shared" si="6"/>
        <v>68608.405311187205</v>
      </c>
      <c r="Q28" s="92">
        <f t="shared" si="7"/>
        <v>497410.9385061072</v>
      </c>
    </row>
    <row r="29" spans="1:17" ht="48" customHeight="1" x14ac:dyDescent="0.25">
      <c r="A29" s="27" t="s">
        <v>112</v>
      </c>
      <c r="B29" s="27" t="s">
        <v>113</v>
      </c>
      <c r="C29" s="27" t="s">
        <v>114</v>
      </c>
      <c r="D29" s="28">
        <v>92.37</v>
      </c>
      <c r="E29" s="28"/>
      <c r="F29" s="28">
        <v>1</v>
      </c>
      <c r="G29" s="92">
        <v>233696</v>
      </c>
      <c r="H29" s="92">
        <f t="shared" si="0"/>
        <v>37391.360000000001</v>
      </c>
      <c r="I29" s="92">
        <f t="shared" si="1"/>
        <v>271087.35999999999</v>
      </c>
      <c r="J29" s="28">
        <v>2</v>
      </c>
      <c r="K29" s="92">
        <f t="shared" si="2"/>
        <v>242249.27360000001</v>
      </c>
      <c r="L29" s="92">
        <f t="shared" si="3"/>
        <v>38759.883776000002</v>
      </c>
      <c r="M29" s="92">
        <f t="shared" si="4"/>
        <v>562018.31475200003</v>
      </c>
      <c r="N29" s="28">
        <v>1</v>
      </c>
      <c r="O29" s="92">
        <f t="shared" si="5"/>
        <v>251115.59701376001</v>
      </c>
      <c r="P29" s="92">
        <f t="shared" si="6"/>
        <v>40178.4955222016</v>
      </c>
      <c r="Q29" s="92">
        <f t="shared" si="7"/>
        <v>291294.09253596159</v>
      </c>
    </row>
    <row r="30" spans="1:17" ht="76.5" customHeight="1" x14ac:dyDescent="0.25">
      <c r="A30" s="27" t="s">
        <v>115</v>
      </c>
      <c r="B30" s="27" t="s">
        <v>116</v>
      </c>
      <c r="C30" s="27" t="s">
        <v>117</v>
      </c>
      <c r="D30" s="28">
        <v>18</v>
      </c>
      <c r="E30" s="28"/>
      <c r="F30" s="28">
        <v>1</v>
      </c>
      <c r="G30" s="92">
        <v>45540</v>
      </c>
      <c r="H30" s="92">
        <f t="shared" si="0"/>
        <v>7286.4000000000005</v>
      </c>
      <c r="I30" s="92">
        <f t="shared" si="1"/>
        <v>52826.400000000001</v>
      </c>
      <c r="J30" s="28">
        <v>2</v>
      </c>
      <c r="K30" s="92">
        <f t="shared" si="2"/>
        <v>47206.764000000003</v>
      </c>
      <c r="L30" s="92">
        <f t="shared" si="3"/>
        <v>7553.0822400000006</v>
      </c>
      <c r="M30" s="92">
        <f t="shared" si="4"/>
        <v>109519.69248000001</v>
      </c>
      <c r="N30" s="28">
        <v>1</v>
      </c>
      <c r="O30" s="92">
        <f t="shared" si="5"/>
        <v>48934.5315624</v>
      </c>
      <c r="P30" s="92">
        <f t="shared" si="6"/>
        <v>7829.5250499840004</v>
      </c>
      <c r="Q30" s="92">
        <f t="shared" si="7"/>
        <v>56764.056612383996</v>
      </c>
    </row>
    <row r="31" spans="1:17" x14ac:dyDescent="0.25">
      <c r="A31" s="188" t="s">
        <v>118</v>
      </c>
      <c r="B31" s="188" t="s">
        <v>119</v>
      </c>
      <c r="C31" s="27" t="s">
        <v>120</v>
      </c>
      <c r="D31" s="29">
        <v>468.1</v>
      </c>
      <c r="E31" s="28"/>
      <c r="F31" s="184">
        <v>1</v>
      </c>
      <c r="G31" s="92">
        <v>1184293</v>
      </c>
      <c r="H31" s="92">
        <f t="shared" si="0"/>
        <v>189486.88</v>
      </c>
      <c r="I31" s="92">
        <f t="shared" si="1"/>
        <v>1373779.88</v>
      </c>
      <c r="J31" s="184">
        <v>2</v>
      </c>
      <c r="K31" s="92">
        <f t="shared" si="2"/>
        <v>1227638.1237999999</v>
      </c>
      <c r="L31" s="92">
        <f t="shared" si="3"/>
        <v>196422.099808</v>
      </c>
      <c r="M31" s="92">
        <f t="shared" si="4"/>
        <v>2848120.4472159999</v>
      </c>
      <c r="N31" s="28">
        <v>1</v>
      </c>
      <c r="O31" s="92">
        <f t="shared" si="5"/>
        <v>1272569.6791310799</v>
      </c>
      <c r="P31" s="92">
        <f t="shared" si="6"/>
        <v>203611.1486609728</v>
      </c>
      <c r="Q31" s="92">
        <f t="shared" si="7"/>
        <v>1476180.8277920526</v>
      </c>
    </row>
    <row r="32" spans="1:17" ht="24" x14ac:dyDescent="0.25">
      <c r="A32" s="188"/>
      <c r="B32" s="188"/>
      <c r="C32" s="27" t="s">
        <v>121</v>
      </c>
      <c r="D32" s="29">
        <v>1472.59</v>
      </c>
      <c r="E32" s="28"/>
      <c r="F32" s="185"/>
      <c r="G32" s="92">
        <v>3725653</v>
      </c>
      <c r="H32" s="92">
        <f t="shared" si="0"/>
        <v>596104.48</v>
      </c>
      <c r="I32" s="92">
        <f t="shared" si="1"/>
        <v>4321757.4800000004</v>
      </c>
      <c r="J32" s="185"/>
      <c r="K32" s="92">
        <f t="shared" si="2"/>
        <v>3862011.8997999998</v>
      </c>
      <c r="L32" s="92">
        <f t="shared" si="3"/>
        <v>617921.90396799997</v>
      </c>
      <c r="M32" s="92">
        <f t="shared" si="4"/>
        <v>8959867.6075359993</v>
      </c>
      <c r="N32" s="28">
        <v>1</v>
      </c>
      <c r="O32" s="92">
        <f t="shared" si="5"/>
        <v>4003361.5353326797</v>
      </c>
      <c r="P32" s="92">
        <f t="shared" si="6"/>
        <v>640537.84565322881</v>
      </c>
      <c r="Q32" s="92">
        <f t="shared" si="7"/>
        <v>4643899.3809859082</v>
      </c>
    </row>
    <row r="33" spans="1:17" x14ac:dyDescent="0.25">
      <c r="A33" s="188"/>
      <c r="B33" s="188"/>
      <c r="C33" s="27" t="s">
        <v>122</v>
      </c>
      <c r="D33" s="29"/>
      <c r="E33" s="28">
        <v>675.82</v>
      </c>
      <c r="F33" s="185"/>
      <c r="G33" s="92">
        <v>1709825</v>
      </c>
      <c r="H33" s="92">
        <f t="shared" si="0"/>
        <v>273572</v>
      </c>
      <c r="I33" s="92">
        <f t="shared" si="1"/>
        <v>1983397</v>
      </c>
      <c r="J33" s="185"/>
      <c r="K33" s="92">
        <f t="shared" si="2"/>
        <v>1772404.595</v>
      </c>
      <c r="L33" s="92">
        <f t="shared" si="3"/>
        <v>283584.7352</v>
      </c>
      <c r="M33" s="92">
        <f t="shared" si="4"/>
        <v>4111978.6603999999</v>
      </c>
      <c r="N33" s="28">
        <v>1</v>
      </c>
      <c r="O33" s="92">
        <f t="shared" si="5"/>
        <v>1837274.6031770001</v>
      </c>
      <c r="P33" s="92">
        <f t="shared" si="6"/>
        <v>293963.93650832004</v>
      </c>
      <c r="Q33" s="92">
        <f t="shared" si="7"/>
        <v>2131238.5396853201</v>
      </c>
    </row>
    <row r="34" spans="1:17" x14ac:dyDescent="0.25">
      <c r="A34" s="188"/>
      <c r="B34" s="188"/>
      <c r="C34" s="27" t="s">
        <v>123</v>
      </c>
      <c r="D34" s="29">
        <v>211.02</v>
      </c>
      <c r="E34" s="28"/>
      <c r="F34" s="185"/>
      <c r="G34" s="92">
        <v>533881</v>
      </c>
      <c r="H34" s="92">
        <f t="shared" si="0"/>
        <v>85420.96</v>
      </c>
      <c r="I34" s="92">
        <f t="shared" si="1"/>
        <v>619301.96</v>
      </c>
      <c r="J34" s="185"/>
      <c r="K34" s="92">
        <f t="shared" si="2"/>
        <v>553421.04460000002</v>
      </c>
      <c r="L34" s="92">
        <f t="shared" si="3"/>
        <v>88547.367136000001</v>
      </c>
      <c r="M34" s="92">
        <f t="shared" si="4"/>
        <v>1283936.823472</v>
      </c>
      <c r="N34" s="28">
        <v>1</v>
      </c>
      <c r="O34" s="92">
        <f t="shared" si="5"/>
        <v>573676.25483236008</v>
      </c>
      <c r="P34" s="92">
        <f t="shared" si="6"/>
        <v>91788.20077317761</v>
      </c>
      <c r="Q34" s="92">
        <f t="shared" si="7"/>
        <v>665464.45560553763</v>
      </c>
    </row>
    <row r="35" spans="1:17" x14ac:dyDescent="0.25">
      <c r="A35" s="188"/>
      <c r="B35" s="188"/>
      <c r="C35" s="27" t="s">
        <v>124</v>
      </c>
      <c r="D35" s="29">
        <v>573.64</v>
      </c>
      <c r="E35" s="28"/>
      <c r="F35" s="185"/>
      <c r="G35" s="92">
        <v>1451309</v>
      </c>
      <c r="H35" s="92">
        <f t="shared" si="0"/>
        <v>232209.44</v>
      </c>
      <c r="I35" s="92">
        <f t="shared" si="1"/>
        <v>1683518.44</v>
      </c>
      <c r="J35" s="185"/>
      <c r="K35" s="92">
        <f t="shared" si="2"/>
        <v>1504426.9094</v>
      </c>
      <c r="L35" s="92">
        <f t="shared" si="3"/>
        <v>240708.30550400002</v>
      </c>
      <c r="M35" s="92">
        <f t="shared" si="4"/>
        <v>3490270.4298080001</v>
      </c>
      <c r="N35" s="28">
        <v>1</v>
      </c>
      <c r="O35" s="92">
        <f t="shared" si="5"/>
        <v>1559488.93428404</v>
      </c>
      <c r="P35" s="92">
        <f t="shared" si="6"/>
        <v>249518.22948544641</v>
      </c>
      <c r="Q35" s="92">
        <f t="shared" si="7"/>
        <v>1809007.1637694864</v>
      </c>
    </row>
    <row r="36" spans="1:17" x14ac:dyDescent="0.25">
      <c r="A36" s="188"/>
      <c r="B36" s="188"/>
      <c r="C36" s="27" t="s">
        <v>125</v>
      </c>
      <c r="D36" s="29">
        <v>549.02</v>
      </c>
      <c r="E36" s="28"/>
      <c r="F36" s="185"/>
      <c r="G36" s="92">
        <v>1389021</v>
      </c>
      <c r="H36" s="92">
        <f t="shared" si="0"/>
        <v>222243.36000000002</v>
      </c>
      <c r="I36" s="92">
        <f t="shared" si="1"/>
        <v>1611264.36</v>
      </c>
      <c r="J36" s="185"/>
      <c r="K36" s="92">
        <f t="shared" si="2"/>
        <v>1439859.1686</v>
      </c>
      <c r="L36" s="92">
        <f t="shared" si="3"/>
        <v>230377.466976</v>
      </c>
      <c r="M36" s="92">
        <f t="shared" si="4"/>
        <v>3340473.2711519999</v>
      </c>
      <c r="N36" s="28">
        <v>1</v>
      </c>
      <c r="O36" s="92">
        <f t="shared" si="5"/>
        <v>1492558.0141707601</v>
      </c>
      <c r="P36" s="92">
        <f t="shared" si="6"/>
        <v>238809.2822673216</v>
      </c>
      <c r="Q36" s="92">
        <f t="shared" si="7"/>
        <v>1731367.2964380817</v>
      </c>
    </row>
    <row r="37" spans="1:17" x14ac:dyDescent="0.25">
      <c r="A37" s="188"/>
      <c r="B37" s="188"/>
      <c r="C37" s="27" t="s">
        <v>126</v>
      </c>
      <c r="D37" s="29">
        <v>549.02</v>
      </c>
      <c r="E37" s="28"/>
      <c r="F37" s="185"/>
      <c r="G37" s="92">
        <v>1389021</v>
      </c>
      <c r="H37" s="92">
        <f t="shared" si="0"/>
        <v>222243.36000000002</v>
      </c>
      <c r="I37" s="92">
        <f t="shared" si="1"/>
        <v>1611264.36</v>
      </c>
      <c r="J37" s="185"/>
      <c r="K37" s="92">
        <f t="shared" si="2"/>
        <v>1439859.1686</v>
      </c>
      <c r="L37" s="92">
        <f t="shared" si="3"/>
        <v>230377.466976</v>
      </c>
      <c r="M37" s="92">
        <f t="shared" si="4"/>
        <v>3340473.2711519999</v>
      </c>
      <c r="N37" s="28">
        <v>1</v>
      </c>
      <c r="O37" s="92">
        <f t="shared" si="5"/>
        <v>1492558.0141707601</v>
      </c>
      <c r="P37" s="92">
        <f t="shared" si="6"/>
        <v>238809.2822673216</v>
      </c>
      <c r="Q37" s="92">
        <f t="shared" si="7"/>
        <v>1731367.2964380817</v>
      </c>
    </row>
    <row r="38" spans="1:17" x14ac:dyDescent="0.25">
      <c r="A38" s="188"/>
      <c r="B38" s="188"/>
      <c r="C38" s="27" t="s">
        <v>127</v>
      </c>
      <c r="D38" s="29">
        <v>549.02</v>
      </c>
      <c r="E38" s="28"/>
      <c r="F38" s="185"/>
      <c r="G38" s="92">
        <v>1389021</v>
      </c>
      <c r="H38" s="92">
        <f t="shared" si="0"/>
        <v>222243.36000000002</v>
      </c>
      <c r="I38" s="92">
        <f t="shared" si="1"/>
        <v>1611264.36</v>
      </c>
      <c r="J38" s="185"/>
      <c r="K38" s="92">
        <f t="shared" si="2"/>
        <v>1439859.1686</v>
      </c>
      <c r="L38" s="92">
        <f t="shared" si="3"/>
        <v>230377.466976</v>
      </c>
      <c r="M38" s="92">
        <f t="shared" si="4"/>
        <v>3340473.2711519999</v>
      </c>
      <c r="N38" s="28">
        <v>1</v>
      </c>
      <c r="O38" s="92">
        <f t="shared" si="5"/>
        <v>1492558.0141707601</v>
      </c>
      <c r="P38" s="92">
        <f t="shared" si="6"/>
        <v>238809.2822673216</v>
      </c>
      <c r="Q38" s="92">
        <f t="shared" si="7"/>
        <v>1731367.2964380817</v>
      </c>
    </row>
    <row r="39" spans="1:17" x14ac:dyDescent="0.25">
      <c r="A39" s="188"/>
      <c r="B39" s="188"/>
      <c r="C39" s="27" t="s">
        <v>128</v>
      </c>
      <c r="D39" s="29">
        <v>549.02</v>
      </c>
      <c r="E39" s="28"/>
      <c r="F39" s="185"/>
      <c r="G39" s="92">
        <v>1389021</v>
      </c>
      <c r="H39" s="92">
        <f t="shared" si="0"/>
        <v>222243.36000000002</v>
      </c>
      <c r="I39" s="92">
        <f t="shared" si="1"/>
        <v>1611264.36</v>
      </c>
      <c r="J39" s="185"/>
      <c r="K39" s="92">
        <f t="shared" si="2"/>
        <v>1439859.1686</v>
      </c>
      <c r="L39" s="92">
        <f t="shared" si="3"/>
        <v>230377.466976</v>
      </c>
      <c r="M39" s="92">
        <f t="shared" si="4"/>
        <v>3340473.2711519999</v>
      </c>
      <c r="N39" s="28">
        <v>1</v>
      </c>
      <c r="O39" s="92">
        <f t="shared" si="5"/>
        <v>1492558.0141707601</v>
      </c>
      <c r="P39" s="92">
        <f t="shared" si="6"/>
        <v>238809.2822673216</v>
      </c>
      <c r="Q39" s="92">
        <f t="shared" si="7"/>
        <v>1731367.2964380817</v>
      </c>
    </row>
    <row r="40" spans="1:17" x14ac:dyDescent="0.25">
      <c r="A40" s="188"/>
      <c r="B40" s="188"/>
      <c r="C40" s="27" t="s">
        <v>129</v>
      </c>
      <c r="D40" s="29">
        <v>549.02</v>
      </c>
      <c r="E40" s="28"/>
      <c r="F40" s="185"/>
      <c r="G40" s="92">
        <v>1389021</v>
      </c>
      <c r="H40" s="92">
        <f t="shared" si="0"/>
        <v>222243.36000000002</v>
      </c>
      <c r="I40" s="92">
        <f t="shared" si="1"/>
        <v>1611264.36</v>
      </c>
      <c r="J40" s="185"/>
      <c r="K40" s="92">
        <f t="shared" si="2"/>
        <v>1439859.1686</v>
      </c>
      <c r="L40" s="92">
        <f t="shared" si="3"/>
        <v>230377.466976</v>
      </c>
      <c r="M40" s="92">
        <f t="shared" si="4"/>
        <v>3340473.2711519999</v>
      </c>
      <c r="N40" s="28">
        <v>1</v>
      </c>
      <c r="O40" s="92">
        <f t="shared" si="5"/>
        <v>1492558.0141707601</v>
      </c>
      <c r="P40" s="92">
        <f t="shared" si="6"/>
        <v>238809.2822673216</v>
      </c>
      <c r="Q40" s="92">
        <f t="shared" si="7"/>
        <v>1731367.2964380817</v>
      </c>
    </row>
    <row r="41" spans="1:17" x14ac:dyDescent="0.25">
      <c r="A41" s="188"/>
      <c r="B41" s="188"/>
      <c r="C41" s="27" t="s">
        <v>130</v>
      </c>
      <c r="D41" s="29">
        <v>549.02</v>
      </c>
      <c r="E41" s="28"/>
      <c r="F41" s="185"/>
      <c r="G41" s="92">
        <v>1389021</v>
      </c>
      <c r="H41" s="92">
        <f t="shared" si="0"/>
        <v>222243.36000000002</v>
      </c>
      <c r="I41" s="92">
        <f t="shared" si="1"/>
        <v>1611264.36</v>
      </c>
      <c r="J41" s="185"/>
      <c r="K41" s="92">
        <f t="shared" si="2"/>
        <v>1439859.1686</v>
      </c>
      <c r="L41" s="92">
        <f t="shared" si="3"/>
        <v>230377.466976</v>
      </c>
      <c r="M41" s="92">
        <f t="shared" si="4"/>
        <v>3340473.2711519999</v>
      </c>
      <c r="N41" s="28">
        <v>1</v>
      </c>
      <c r="O41" s="92">
        <f t="shared" si="5"/>
        <v>1492558.0141707601</v>
      </c>
      <c r="P41" s="92">
        <f t="shared" si="6"/>
        <v>238809.2822673216</v>
      </c>
      <c r="Q41" s="92">
        <f t="shared" si="7"/>
        <v>1731367.2964380817</v>
      </c>
    </row>
    <row r="42" spans="1:17" ht="24" x14ac:dyDescent="0.25">
      <c r="A42" s="188"/>
      <c r="B42" s="188"/>
      <c r="C42" s="27" t="s">
        <v>131</v>
      </c>
      <c r="D42" s="29">
        <v>292.3</v>
      </c>
      <c r="E42" s="28"/>
      <c r="F42" s="185"/>
      <c r="G42" s="92">
        <v>739519</v>
      </c>
      <c r="H42" s="92">
        <f t="shared" si="0"/>
        <v>118323.04000000001</v>
      </c>
      <c r="I42" s="92">
        <f t="shared" si="1"/>
        <v>857842.04</v>
      </c>
      <c r="J42" s="185"/>
      <c r="K42" s="92">
        <f t="shared" si="2"/>
        <v>766585.39540000004</v>
      </c>
      <c r="L42" s="92">
        <f t="shared" si="3"/>
        <v>122653.663264</v>
      </c>
      <c r="M42" s="92">
        <f t="shared" si="4"/>
        <v>1778478.117328</v>
      </c>
      <c r="N42" s="28">
        <v>1</v>
      </c>
      <c r="O42" s="92">
        <f t="shared" si="5"/>
        <v>794642.42087164009</v>
      </c>
      <c r="P42" s="92">
        <f t="shared" si="6"/>
        <v>127142.78733946242</v>
      </c>
      <c r="Q42" s="92">
        <f t="shared" si="7"/>
        <v>921785.20821110252</v>
      </c>
    </row>
    <row r="43" spans="1:17" x14ac:dyDescent="0.25">
      <c r="A43" s="188"/>
      <c r="B43" s="188"/>
      <c r="C43" s="27" t="s">
        <v>132</v>
      </c>
      <c r="D43" s="28"/>
      <c r="E43" s="29">
        <v>256.72000000000003</v>
      </c>
      <c r="F43" s="186"/>
      <c r="G43" s="92">
        <v>649502</v>
      </c>
      <c r="H43" s="92">
        <f t="shared" si="0"/>
        <v>103920.32000000001</v>
      </c>
      <c r="I43" s="92">
        <f t="shared" si="1"/>
        <v>753422.32000000007</v>
      </c>
      <c r="J43" s="186"/>
      <c r="K43" s="92">
        <f t="shared" si="2"/>
        <v>673273.77320000005</v>
      </c>
      <c r="L43" s="92">
        <f t="shared" si="3"/>
        <v>107723.80371200001</v>
      </c>
      <c r="M43" s="92">
        <f t="shared" si="4"/>
        <v>1561995.1538240002</v>
      </c>
      <c r="N43" s="28">
        <v>1</v>
      </c>
      <c r="O43" s="92">
        <f t="shared" si="5"/>
        <v>697915.59329912008</v>
      </c>
      <c r="P43" s="92">
        <f t="shared" si="6"/>
        <v>111666.49492785921</v>
      </c>
      <c r="Q43" s="92">
        <f t="shared" si="7"/>
        <v>809582.08822697925</v>
      </c>
    </row>
    <row r="44" spans="1:17" ht="72.75" customHeight="1" x14ac:dyDescent="0.25">
      <c r="A44" s="30"/>
      <c r="B44" s="31"/>
      <c r="C44" s="31"/>
      <c r="D44" s="32"/>
      <c r="E44" s="32"/>
      <c r="F44" s="33"/>
      <c r="G44" s="174" t="s">
        <v>30</v>
      </c>
      <c r="H44" s="174"/>
      <c r="I44" s="93">
        <f>SUM(I4:I43)</f>
        <v>32140830.907999996</v>
      </c>
      <c r="J44" s="34"/>
      <c r="K44" s="174" t="s">
        <v>137</v>
      </c>
      <c r="L44" s="174"/>
      <c r="M44" s="94">
        <f>SUM(M4:M43)</f>
        <v>66634370.638465591</v>
      </c>
      <c r="N44" s="34"/>
      <c r="O44" s="175" t="s">
        <v>145</v>
      </c>
      <c r="P44" s="175"/>
      <c r="Q44" s="95">
        <f>SUM(Q4:Q43)</f>
        <v>34536594.301916726</v>
      </c>
    </row>
    <row r="45" spans="1:17" ht="12.75" customHeight="1" x14ac:dyDescent="0.25">
      <c r="A45" s="21"/>
      <c r="B45" s="21"/>
      <c r="C45" s="21"/>
      <c r="D45" s="20"/>
      <c r="E45" s="20"/>
      <c r="F45" s="24"/>
      <c r="G45" s="96"/>
      <c r="H45" s="97"/>
      <c r="I45" s="97"/>
      <c r="K45" s="97"/>
      <c r="L45" s="97"/>
      <c r="M45" s="97"/>
      <c r="Q45" s="35"/>
    </row>
    <row r="46" spans="1:17" ht="72.75" customHeight="1" x14ac:dyDescent="0.25">
      <c r="A46" s="22"/>
      <c r="B46" s="22"/>
      <c r="C46" s="22"/>
      <c r="D46" s="23"/>
      <c r="E46" s="23"/>
      <c r="F46" s="22"/>
      <c r="G46" s="178" t="s">
        <v>191</v>
      </c>
      <c r="H46" s="179"/>
      <c r="I46" s="179"/>
      <c r="J46" s="180"/>
      <c r="K46" s="189">
        <f>+Q44+I44+M44</f>
        <v>133311795.84838232</v>
      </c>
      <c r="L46" s="190"/>
      <c r="M46" s="190"/>
      <c r="N46" s="190"/>
      <c r="O46" s="190"/>
      <c r="P46" s="190"/>
      <c r="Q46" s="191"/>
    </row>
    <row r="47" spans="1:17" ht="6.75" customHeight="1" x14ac:dyDescent="0.25">
      <c r="A47" s="22"/>
      <c r="B47" s="22"/>
      <c r="C47" s="22"/>
      <c r="D47" s="23"/>
      <c r="E47" s="23"/>
      <c r="F47" s="22"/>
      <c r="G47" s="176"/>
      <c r="H47" s="176"/>
      <c r="I47" s="24"/>
    </row>
    <row r="48" spans="1:17" ht="15" customHeight="1" x14ac:dyDescent="0.25">
      <c r="A48" s="165" t="s">
        <v>178</v>
      </c>
      <c r="B48" s="165"/>
      <c r="C48" s="165"/>
      <c r="D48" s="165"/>
      <c r="E48" s="165"/>
      <c r="F48" s="165"/>
      <c r="G48" s="165"/>
      <c r="H48" s="165"/>
      <c r="I48" s="165"/>
      <c r="J48" s="165"/>
      <c r="K48" s="165"/>
      <c r="L48" s="165"/>
      <c r="M48" s="165"/>
      <c r="N48" s="165"/>
      <c r="O48" s="165"/>
      <c r="P48" s="165"/>
      <c r="Q48" s="165"/>
    </row>
    <row r="49" spans="1:17" x14ac:dyDescent="0.25">
      <c r="A49" s="165"/>
      <c r="B49" s="165"/>
      <c r="C49" s="165"/>
      <c r="D49" s="165"/>
      <c r="E49" s="165"/>
      <c r="F49" s="165"/>
      <c r="G49" s="165"/>
      <c r="H49" s="165"/>
      <c r="I49" s="165"/>
      <c r="J49" s="165"/>
      <c r="K49" s="165"/>
      <c r="L49" s="165"/>
      <c r="M49" s="165"/>
      <c r="N49" s="165"/>
      <c r="O49" s="165"/>
      <c r="P49" s="165"/>
      <c r="Q49" s="165"/>
    </row>
    <row r="50" spans="1:17" ht="5.25" customHeight="1" x14ac:dyDescent="0.25">
      <c r="A50" s="1"/>
      <c r="B50" s="1"/>
      <c r="C50" s="1"/>
      <c r="D50" s="1"/>
      <c r="E50" s="1"/>
      <c r="F50" s="1"/>
      <c r="G50" s="1"/>
      <c r="H50" s="1"/>
    </row>
    <row r="51" spans="1:17" ht="81" x14ac:dyDescent="0.25">
      <c r="A51" s="48" t="s">
        <v>179</v>
      </c>
      <c r="B51" s="166" t="s">
        <v>180</v>
      </c>
      <c r="C51" s="166"/>
      <c r="D51" s="166"/>
      <c r="E51" s="166"/>
      <c r="F51" s="166"/>
      <c r="G51" s="166"/>
      <c r="H51" s="49" t="s">
        <v>181</v>
      </c>
    </row>
    <row r="52" spans="1:17" x14ac:dyDescent="0.25">
      <c r="A52" s="50"/>
      <c r="B52" s="167"/>
      <c r="C52" s="167"/>
      <c r="D52" s="167"/>
      <c r="E52" s="167"/>
      <c r="F52" s="167"/>
      <c r="G52" s="167"/>
      <c r="H52" s="2"/>
    </row>
    <row r="54" spans="1:17" ht="31.5" customHeight="1" x14ac:dyDescent="0.25">
      <c r="A54" s="168" t="s">
        <v>183</v>
      </c>
      <c r="B54" s="168"/>
      <c r="C54" s="168"/>
      <c r="D54" s="168"/>
      <c r="E54" s="168"/>
      <c r="F54" s="168"/>
      <c r="G54" s="168"/>
      <c r="H54" s="168"/>
      <c r="I54" s="168"/>
      <c r="J54" s="168"/>
      <c r="K54" s="168"/>
      <c r="L54" s="168"/>
      <c r="M54" s="168"/>
      <c r="N54" s="168"/>
      <c r="O54" s="168"/>
      <c r="P54" s="168"/>
      <c r="Q54" s="168"/>
    </row>
  </sheetData>
  <mergeCells count="19">
    <mergeCell ref="A54:Q54"/>
    <mergeCell ref="K46:Q46"/>
    <mergeCell ref="B51:G51"/>
    <mergeCell ref="B52:G52"/>
    <mergeCell ref="A48:Q49"/>
    <mergeCell ref="A1:E1"/>
    <mergeCell ref="J31:J43"/>
    <mergeCell ref="F31:F43"/>
    <mergeCell ref="A2:C2"/>
    <mergeCell ref="A31:A43"/>
    <mergeCell ref="B31:B43"/>
    <mergeCell ref="G44:H44"/>
    <mergeCell ref="K44:L44"/>
    <mergeCell ref="O44:P44"/>
    <mergeCell ref="G47:H47"/>
    <mergeCell ref="F1:I1"/>
    <mergeCell ref="G46:J46"/>
    <mergeCell ref="J1:M1"/>
    <mergeCell ref="N1:Q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4"/>
  <sheetViews>
    <sheetView tabSelected="1" topLeftCell="A29" zoomScale="80" zoomScaleNormal="80" workbookViewId="0">
      <selection activeCell="O36" sqref="O36"/>
    </sheetView>
  </sheetViews>
  <sheetFormatPr baseColWidth="10" defaultRowHeight="16.5" x14ac:dyDescent="0.3"/>
  <cols>
    <col min="1" max="24" width="11.42578125" style="36"/>
    <col min="25" max="25" width="12" style="36" bestFit="1" customWidth="1"/>
    <col min="26" max="16384" width="11.42578125" style="36"/>
  </cols>
  <sheetData>
    <row r="1" spans="1:29" ht="48" customHeight="1" x14ac:dyDescent="0.3">
      <c r="A1" s="195" t="s">
        <v>28</v>
      </c>
      <c r="B1" s="196" t="s">
        <v>146</v>
      </c>
      <c r="C1" s="196"/>
      <c r="D1" s="196"/>
      <c r="E1" s="196"/>
      <c r="F1" s="196" t="s">
        <v>147</v>
      </c>
      <c r="G1" s="196"/>
      <c r="H1" s="196"/>
      <c r="I1" s="196"/>
      <c r="J1" s="196" t="s">
        <v>148</v>
      </c>
      <c r="K1" s="196"/>
      <c r="L1" s="196"/>
      <c r="M1" s="196"/>
      <c r="N1" s="196" t="s">
        <v>149</v>
      </c>
      <c r="O1" s="196"/>
      <c r="P1" s="196"/>
      <c r="Q1" s="196"/>
      <c r="R1" s="196" t="s">
        <v>150</v>
      </c>
      <c r="S1" s="196"/>
      <c r="T1" s="196"/>
      <c r="U1" s="196"/>
      <c r="V1" s="196" t="s">
        <v>209</v>
      </c>
      <c r="W1" s="196"/>
      <c r="X1" s="196"/>
      <c r="Y1" s="196"/>
      <c r="Z1" s="192" t="s">
        <v>208</v>
      </c>
      <c r="AA1" s="193"/>
      <c r="AB1" s="193"/>
      <c r="AC1" s="194"/>
    </row>
    <row r="2" spans="1:29" ht="45" x14ac:dyDescent="0.3">
      <c r="A2" s="195"/>
      <c r="B2" s="39" t="s">
        <v>8</v>
      </c>
      <c r="C2" s="40" t="s">
        <v>29</v>
      </c>
      <c r="D2" s="40" t="s">
        <v>193</v>
      </c>
      <c r="E2" s="40" t="s">
        <v>177</v>
      </c>
      <c r="F2" s="39" t="s">
        <v>8</v>
      </c>
      <c r="G2" s="40" t="s">
        <v>29</v>
      </c>
      <c r="H2" s="40" t="s">
        <v>193</v>
      </c>
      <c r="I2" s="40" t="s">
        <v>197</v>
      </c>
      <c r="J2" s="39" t="s">
        <v>8</v>
      </c>
      <c r="K2" s="40" t="s">
        <v>29</v>
      </c>
      <c r="L2" s="40" t="s">
        <v>193</v>
      </c>
      <c r="M2" s="40" t="s">
        <v>197</v>
      </c>
      <c r="N2" s="39" t="s">
        <v>8</v>
      </c>
      <c r="O2" s="40" t="s">
        <v>29</v>
      </c>
      <c r="P2" s="40" t="s">
        <v>193</v>
      </c>
      <c r="Q2" s="40" t="s">
        <v>197</v>
      </c>
      <c r="R2" s="39" t="s">
        <v>8</v>
      </c>
      <c r="S2" s="40" t="s">
        <v>29</v>
      </c>
      <c r="T2" s="40" t="s">
        <v>193</v>
      </c>
      <c r="U2" s="40" t="s">
        <v>197</v>
      </c>
      <c r="V2" s="39" t="s">
        <v>8</v>
      </c>
      <c r="W2" s="40" t="s">
        <v>29</v>
      </c>
      <c r="X2" s="40" t="s">
        <v>193</v>
      </c>
      <c r="Y2" s="40" t="s">
        <v>197</v>
      </c>
      <c r="Z2" s="39" t="s">
        <v>8</v>
      </c>
      <c r="AA2" s="40" t="s">
        <v>29</v>
      </c>
      <c r="AB2" s="40" t="s">
        <v>193</v>
      </c>
      <c r="AC2" s="40" t="s">
        <v>197</v>
      </c>
    </row>
    <row r="3" spans="1:29" ht="73.5" customHeight="1" x14ac:dyDescent="0.3">
      <c r="A3" s="41" t="s">
        <v>151</v>
      </c>
      <c r="B3" s="42">
        <v>1</v>
      </c>
      <c r="C3" s="98">
        <v>41364.58</v>
      </c>
      <c r="D3" s="98">
        <f>+C3*0.16</f>
        <v>6618.3328000000001</v>
      </c>
      <c r="E3" s="98">
        <f>+(C3+D3)*B3</f>
        <v>47982.912800000006</v>
      </c>
      <c r="F3" s="43" t="s">
        <v>152</v>
      </c>
      <c r="G3" s="98"/>
      <c r="H3" s="98"/>
      <c r="I3" s="98"/>
      <c r="J3" s="43" t="s">
        <v>152</v>
      </c>
      <c r="K3" s="98"/>
      <c r="L3" s="98"/>
      <c r="M3" s="98"/>
      <c r="N3" s="43" t="s">
        <v>152</v>
      </c>
      <c r="O3" s="98"/>
      <c r="P3" s="98"/>
      <c r="Q3" s="98"/>
      <c r="R3" s="43" t="s">
        <v>152</v>
      </c>
      <c r="S3" s="98"/>
      <c r="T3" s="98"/>
      <c r="U3" s="98"/>
      <c r="V3" s="43" t="s">
        <v>152</v>
      </c>
      <c r="W3" s="98"/>
      <c r="X3" s="98"/>
      <c r="Y3" s="98"/>
      <c r="Z3" s="43" t="s">
        <v>152</v>
      </c>
      <c r="AA3" s="98"/>
      <c r="AB3" s="98"/>
      <c r="AC3" s="98"/>
    </row>
    <row r="4" spans="1:29" ht="256.5" x14ac:dyDescent="0.3">
      <c r="A4" s="41" t="s">
        <v>153</v>
      </c>
      <c r="B4" s="43">
        <v>2</v>
      </c>
      <c r="C4" s="99">
        <v>9905.73</v>
      </c>
      <c r="D4" s="98">
        <f t="shared" ref="D4:D20" si="0">+C4*0.16</f>
        <v>1584.9168</v>
      </c>
      <c r="E4" s="98">
        <f t="shared" ref="E4:E20" si="1">+(C4+D4)*B4</f>
        <v>22981.293599999997</v>
      </c>
      <c r="F4" s="43" t="s">
        <v>152</v>
      </c>
      <c r="G4" s="99"/>
      <c r="H4" s="98"/>
      <c r="I4" s="98"/>
      <c r="J4" s="43" t="s">
        <v>152</v>
      </c>
      <c r="K4" s="99"/>
      <c r="L4" s="99"/>
      <c r="M4" s="98"/>
      <c r="N4" s="43" t="s">
        <v>152</v>
      </c>
      <c r="O4" s="99"/>
      <c r="P4" s="99"/>
      <c r="Q4" s="98"/>
      <c r="R4" s="43" t="s">
        <v>152</v>
      </c>
      <c r="S4" s="99"/>
      <c r="T4" s="99"/>
      <c r="U4" s="98"/>
      <c r="V4" s="43" t="s">
        <v>152</v>
      </c>
      <c r="W4" s="99"/>
      <c r="X4" s="99"/>
      <c r="Y4" s="98"/>
      <c r="Z4" s="43" t="s">
        <v>152</v>
      </c>
      <c r="AA4" s="99"/>
      <c r="AB4" s="99"/>
      <c r="AC4" s="98"/>
    </row>
    <row r="5" spans="1:29" ht="229.5" x14ac:dyDescent="0.3">
      <c r="A5" s="41" t="s">
        <v>154</v>
      </c>
      <c r="B5" s="43" t="s">
        <v>155</v>
      </c>
      <c r="C5" s="99">
        <v>6544</v>
      </c>
      <c r="D5" s="98">
        <f t="shared" si="0"/>
        <v>1047.04</v>
      </c>
      <c r="E5" s="98">
        <f>+(C5+D5)*2</f>
        <v>15182.08</v>
      </c>
      <c r="F5" s="43" t="s">
        <v>152</v>
      </c>
      <c r="G5" s="99"/>
      <c r="H5" s="98"/>
      <c r="I5" s="98"/>
      <c r="J5" s="43" t="s">
        <v>152</v>
      </c>
      <c r="K5" s="99"/>
      <c r="L5" s="99"/>
      <c r="M5" s="98"/>
      <c r="N5" s="43" t="s">
        <v>152</v>
      </c>
      <c r="O5" s="99"/>
      <c r="P5" s="99"/>
      <c r="Q5" s="98"/>
      <c r="R5" s="43" t="s">
        <v>152</v>
      </c>
      <c r="S5" s="99"/>
      <c r="T5" s="99"/>
      <c r="U5" s="98"/>
      <c r="V5" s="43" t="s">
        <v>152</v>
      </c>
      <c r="W5" s="99"/>
      <c r="X5" s="99"/>
      <c r="Y5" s="98"/>
      <c r="Z5" s="43" t="s">
        <v>152</v>
      </c>
      <c r="AA5" s="99"/>
      <c r="AB5" s="99"/>
      <c r="AC5" s="98"/>
    </row>
    <row r="6" spans="1:29" s="126" customFormat="1" ht="159.75" customHeight="1" x14ac:dyDescent="0.3">
      <c r="A6" s="122" t="s">
        <v>156</v>
      </c>
      <c r="B6" s="123">
        <v>6</v>
      </c>
      <c r="C6" s="124">
        <v>28302</v>
      </c>
      <c r="D6" s="124">
        <f t="shared" si="0"/>
        <v>4528.32</v>
      </c>
      <c r="E6" s="124">
        <f t="shared" si="1"/>
        <v>196981.91999999998</v>
      </c>
      <c r="F6" s="125">
        <v>1</v>
      </c>
      <c r="G6" s="124">
        <v>28302</v>
      </c>
      <c r="H6" s="124">
        <f t="shared" ref="H6:H19" si="2">+G6*0.16</f>
        <v>4528.32</v>
      </c>
      <c r="I6" s="124">
        <f t="shared" ref="I6:I19" si="3">+(G6+H6)*F6</f>
        <v>32830.32</v>
      </c>
      <c r="J6" s="125">
        <v>1</v>
      </c>
      <c r="K6" s="124">
        <v>28302</v>
      </c>
      <c r="L6" s="124">
        <f>+K6*0.16</f>
        <v>4528.32</v>
      </c>
      <c r="M6" s="124">
        <f t="shared" ref="M6:M19" si="4">+(K6+L6)*J6</f>
        <v>32830.32</v>
      </c>
      <c r="N6" s="125">
        <v>1</v>
      </c>
      <c r="O6" s="124">
        <v>28302</v>
      </c>
      <c r="P6" s="124">
        <f>+O6*0.16</f>
        <v>4528.32</v>
      </c>
      <c r="Q6" s="124">
        <f t="shared" ref="Q6:Q19" si="5">+(O6+P6)*N6</f>
        <v>32830.32</v>
      </c>
      <c r="R6" s="125">
        <v>1</v>
      </c>
      <c r="S6" s="124">
        <v>28302</v>
      </c>
      <c r="T6" s="124">
        <f>+S6*0.16</f>
        <v>4528.32</v>
      </c>
      <c r="U6" s="124">
        <f t="shared" ref="U6:U7" si="6">+(S6+T6)*R6</f>
        <v>32830.32</v>
      </c>
      <c r="V6" s="125">
        <v>1</v>
      </c>
      <c r="W6" s="124">
        <v>28302</v>
      </c>
      <c r="X6" s="124">
        <v>0</v>
      </c>
      <c r="Y6" s="124">
        <f>+((W6+X6)*V6)*2</f>
        <v>56604</v>
      </c>
      <c r="Z6" s="125" t="s">
        <v>157</v>
      </c>
      <c r="AA6" s="124">
        <v>28302</v>
      </c>
      <c r="AB6" s="124">
        <f>+AA6*0.16</f>
        <v>4528.32</v>
      </c>
      <c r="AC6" s="124">
        <f>+(AA6+AB6)*22</f>
        <v>722267.04</v>
      </c>
    </row>
    <row r="7" spans="1:29" ht="63.75" customHeight="1" x14ac:dyDescent="0.3">
      <c r="A7" s="41" t="s">
        <v>158</v>
      </c>
      <c r="B7" s="42">
        <v>15</v>
      </c>
      <c r="C7" s="98">
        <v>383.17</v>
      </c>
      <c r="D7" s="98">
        <f t="shared" si="0"/>
        <v>61.307200000000002</v>
      </c>
      <c r="E7" s="98">
        <f t="shared" si="1"/>
        <v>6667.1580000000004</v>
      </c>
      <c r="F7" s="43">
        <v>2</v>
      </c>
      <c r="G7" s="98">
        <v>383.17</v>
      </c>
      <c r="H7" s="98">
        <f t="shared" si="2"/>
        <v>61.307200000000002</v>
      </c>
      <c r="I7" s="98">
        <f t="shared" si="3"/>
        <v>888.95440000000008</v>
      </c>
      <c r="J7" s="43">
        <v>2</v>
      </c>
      <c r="K7" s="98">
        <v>383.17</v>
      </c>
      <c r="L7" s="98">
        <f>+K7*0.16</f>
        <v>61.307200000000002</v>
      </c>
      <c r="M7" s="98">
        <f t="shared" si="4"/>
        <v>888.95440000000008</v>
      </c>
      <c r="N7" s="43">
        <v>2</v>
      </c>
      <c r="O7" s="98">
        <v>383.17</v>
      </c>
      <c r="P7" s="98">
        <f>+O7*0.16</f>
        <v>61.307200000000002</v>
      </c>
      <c r="Q7" s="98">
        <f t="shared" si="5"/>
        <v>888.95440000000008</v>
      </c>
      <c r="R7" s="43">
        <v>2</v>
      </c>
      <c r="S7" s="98">
        <v>383.17</v>
      </c>
      <c r="T7" s="98">
        <f>+S7*0.16</f>
        <v>61.307200000000002</v>
      </c>
      <c r="U7" s="98">
        <f t="shared" si="6"/>
        <v>888.95440000000008</v>
      </c>
      <c r="V7" s="43">
        <v>2</v>
      </c>
      <c r="W7" s="98">
        <v>383.17</v>
      </c>
      <c r="X7" s="98">
        <v>0</v>
      </c>
      <c r="Y7" s="98">
        <f>+((W7+X7)*V7)*2</f>
        <v>1532.68</v>
      </c>
      <c r="Z7" s="43" t="s">
        <v>159</v>
      </c>
      <c r="AA7" s="98">
        <v>383.17</v>
      </c>
      <c r="AB7" s="98">
        <f>+AA7*0.16</f>
        <v>61.307200000000002</v>
      </c>
      <c r="AC7" s="98">
        <f>+((AA7+AB7)*22)*2</f>
        <v>19556.996800000001</v>
      </c>
    </row>
    <row r="8" spans="1:29" ht="34.5" customHeight="1" x14ac:dyDescent="0.3">
      <c r="A8" s="41" t="s">
        <v>160</v>
      </c>
      <c r="B8" s="42">
        <v>60</v>
      </c>
      <c r="C8" s="98">
        <v>3483.33</v>
      </c>
      <c r="D8" s="98">
        <f t="shared" si="0"/>
        <v>557.33280000000002</v>
      </c>
      <c r="E8" s="98">
        <f t="shared" si="1"/>
        <v>242439.76800000001</v>
      </c>
      <c r="F8" s="43" t="s">
        <v>152</v>
      </c>
      <c r="G8" s="98"/>
      <c r="H8" s="98">
        <f t="shared" si="2"/>
        <v>0</v>
      </c>
      <c r="I8" s="98">
        <f>+(G8+H8)</f>
        <v>0</v>
      </c>
      <c r="J8" s="43" t="s">
        <v>152</v>
      </c>
      <c r="K8" s="98"/>
      <c r="L8" s="98"/>
      <c r="M8" s="98"/>
      <c r="N8" s="43" t="s">
        <v>152</v>
      </c>
      <c r="O8" s="98"/>
      <c r="P8" s="98"/>
      <c r="Q8" s="98"/>
      <c r="R8" s="43" t="s">
        <v>152</v>
      </c>
      <c r="S8" s="98"/>
      <c r="T8" s="98"/>
      <c r="U8" s="98"/>
      <c r="V8" s="43" t="s">
        <v>152</v>
      </c>
      <c r="W8" s="98"/>
      <c r="X8" s="98"/>
      <c r="Y8" s="98"/>
      <c r="Z8" s="43" t="s">
        <v>152</v>
      </c>
      <c r="AA8" s="98"/>
      <c r="AB8" s="98"/>
      <c r="AC8" s="98"/>
    </row>
    <row r="9" spans="1:29" ht="35.25" customHeight="1" x14ac:dyDescent="0.3">
      <c r="A9" s="41" t="s">
        <v>161</v>
      </c>
      <c r="B9" s="42">
        <v>9</v>
      </c>
      <c r="C9" s="98">
        <v>4571.88</v>
      </c>
      <c r="D9" s="98">
        <f t="shared" si="0"/>
        <v>731.50080000000003</v>
      </c>
      <c r="E9" s="98">
        <f t="shared" si="1"/>
        <v>47730.427199999998</v>
      </c>
      <c r="F9" s="43">
        <v>1</v>
      </c>
      <c r="G9" s="98">
        <v>4571.88</v>
      </c>
      <c r="H9" s="98">
        <f t="shared" si="2"/>
        <v>731.50080000000003</v>
      </c>
      <c r="I9" s="98">
        <f t="shared" si="3"/>
        <v>5303.3807999999999</v>
      </c>
      <c r="J9" s="43">
        <v>1</v>
      </c>
      <c r="K9" s="98">
        <v>4571.88</v>
      </c>
      <c r="L9" s="98">
        <f>+K9*0.16</f>
        <v>731.50080000000003</v>
      </c>
      <c r="M9" s="98">
        <f t="shared" si="4"/>
        <v>5303.3807999999999</v>
      </c>
      <c r="N9" s="43">
        <v>1</v>
      </c>
      <c r="O9" s="98">
        <v>4571.88</v>
      </c>
      <c r="P9" s="98">
        <f>+O9*0.16</f>
        <v>731.50080000000003</v>
      </c>
      <c r="Q9" s="98">
        <f t="shared" si="5"/>
        <v>5303.3807999999999</v>
      </c>
      <c r="R9" s="43">
        <v>1</v>
      </c>
      <c r="S9" s="98">
        <v>4571.88</v>
      </c>
      <c r="T9" s="98">
        <f>+S9*0.16</f>
        <v>731.50080000000003</v>
      </c>
      <c r="U9" s="98">
        <f t="shared" ref="U9:U10" si="7">+(S9+T9)*R9</f>
        <v>5303.3807999999999</v>
      </c>
      <c r="V9" s="43" t="s">
        <v>162</v>
      </c>
      <c r="W9" s="98"/>
      <c r="X9" s="98"/>
      <c r="Y9" s="98"/>
      <c r="Z9" s="43" t="s">
        <v>162</v>
      </c>
      <c r="AA9" s="98"/>
      <c r="AB9" s="98"/>
      <c r="AC9" s="98"/>
    </row>
    <row r="10" spans="1:29" ht="32.25" customHeight="1" x14ac:dyDescent="0.3">
      <c r="A10" s="41" t="s">
        <v>163</v>
      </c>
      <c r="B10" s="42">
        <v>8</v>
      </c>
      <c r="C10" s="98">
        <v>82729.17</v>
      </c>
      <c r="D10" s="98">
        <f t="shared" si="0"/>
        <v>13236.6672</v>
      </c>
      <c r="E10" s="98">
        <f t="shared" si="1"/>
        <v>767726.69759999996</v>
      </c>
      <c r="F10" s="43">
        <v>1</v>
      </c>
      <c r="G10" s="98">
        <v>82729.17</v>
      </c>
      <c r="H10" s="98">
        <f t="shared" si="2"/>
        <v>13236.6672</v>
      </c>
      <c r="I10" s="98">
        <f t="shared" si="3"/>
        <v>95965.837199999994</v>
      </c>
      <c r="J10" s="43">
        <v>1</v>
      </c>
      <c r="K10" s="98">
        <v>82729.17</v>
      </c>
      <c r="L10" s="98">
        <f>+K10*0.16</f>
        <v>13236.6672</v>
      </c>
      <c r="M10" s="98">
        <f t="shared" si="4"/>
        <v>95965.837199999994</v>
      </c>
      <c r="N10" s="43" t="s">
        <v>152</v>
      </c>
      <c r="O10" s="98"/>
      <c r="P10" s="98"/>
      <c r="Q10" s="98"/>
      <c r="R10" s="43">
        <v>1</v>
      </c>
      <c r="S10" s="98">
        <v>82729.17</v>
      </c>
      <c r="T10" s="98">
        <f>+S10*0.16</f>
        <v>13236.6672</v>
      </c>
      <c r="U10" s="98">
        <f t="shared" si="7"/>
        <v>95965.837199999994</v>
      </c>
      <c r="V10" s="43" t="s">
        <v>162</v>
      </c>
      <c r="W10" s="98"/>
      <c r="X10" s="98"/>
      <c r="Y10" s="98"/>
      <c r="Z10" s="43" t="s">
        <v>162</v>
      </c>
      <c r="AA10" s="98"/>
      <c r="AB10" s="98"/>
      <c r="AC10" s="98"/>
    </row>
    <row r="11" spans="1:29" ht="42" customHeight="1" x14ac:dyDescent="0.3">
      <c r="A11" s="41" t="s">
        <v>164</v>
      </c>
      <c r="B11" s="42">
        <v>8</v>
      </c>
      <c r="C11" s="98">
        <v>10232.290000000001</v>
      </c>
      <c r="D11" s="98">
        <f t="shared" si="0"/>
        <v>1637.1664000000001</v>
      </c>
      <c r="E11" s="98">
        <f t="shared" si="1"/>
        <v>94955.651200000008</v>
      </c>
      <c r="F11" s="43" t="s">
        <v>152</v>
      </c>
      <c r="G11" s="98"/>
      <c r="H11" s="98"/>
      <c r="I11" s="98"/>
      <c r="J11" s="43" t="s">
        <v>152</v>
      </c>
      <c r="K11" s="98"/>
      <c r="L11" s="98"/>
      <c r="M11" s="98"/>
      <c r="N11" s="43" t="s">
        <v>152</v>
      </c>
      <c r="O11" s="98"/>
      <c r="P11" s="98"/>
      <c r="Q11" s="98"/>
      <c r="R11" s="43" t="s">
        <v>152</v>
      </c>
      <c r="S11" s="98"/>
      <c r="T11" s="98"/>
      <c r="U11" s="98"/>
      <c r="V11" s="43" t="s">
        <v>152</v>
      </c>
      <c r="W11" s="98"/>
      <c r="X11" s="98"/>
      <c r="Y11" s="98"/>
      <c r="Z11" s="43" t="s">
        <v>152</v>
      </c>
      <c r="AA11" s="98"/>
      <c r="AB11" s="98"/>
      <c r="AC11" s="98"/>
    </row>
    <row r="12" spans="1:29" ht="37.5" customHeight="1" x14ac:dyDescent="0.3">
      <c r="A12" s="41" t="s">
        <v>165</v>
      </c>
      <c r="B12" s="42">
        <v>1</v>
      </c>
      <c r="C12" s="98">
        <v>19593.75</v>
      </c>
      <c r="D12" s="98">
        <f t="shared" si="0"/>
        <v>3135</v>
      </c>
      <c r="E12" s="98">
        <f t="shared" si="1"/>
        <v>22728.75</v>
      </c>
      <c r="F12" s="43" t="s">
        <v>152</v>
      </c>
      <c r="G12" s="98"/>
      <c r="H12" s="98"/>
      <c r="I12" s="98"/>
      <c r="J12" s="43" t="s">
        <v>152</v>
      </c>
      <c r="K12" s="98"/>
      <c r="L12" s="98"/>
      <c r="M12" s="98"/>
      <c r="N12" s="43" t="s">
        <v>152</v>
      </c>
      <c r="O12" s="98"/>
      <c r="P12" s="98"/>
      <c r="Q12" s="98"/>
      <c r="R12" s="43" t="s">
        <v>152</v>
      </c>
      <c r="S12" s="98"/>
      <c r="T12" s="98"/>
      <c r="U12" s="98"/>
      <c r="V12" s="43" t="s">
        <v>152</v>
      </c>
      <c r="W12" s="98"/>
      <c r="X12" s="98"/>
      <c r="Y12" s="98"/>
      <c r="Z12" s="43" t="s">
        <v>152</v>
      </c>
      <c r="AA12" s="98"/>
      <c r="AB12" s="98"/>
      <c r="AC12" s="98"/>
    </row>
    <row r="13" spans="1:29" ht="40.5" customHeight="1" x14ac:dyDescent="0.3">
      <c r="A13" s="41" t="s">
        <v>166</v>
      </c>
      <c r="B13" s="42">
        <v>1</v>
      </c>
      <c r="C13" s="98">
        <v>4756.93</v>
      </c>
      <c r="D13" s="98">
        <f t="shared" si="0"/>
        <v>761.10880000000009</v>
      </c>
      <c r="E13" s="98">
        <f t="shared" si="1"/>
        <v>5518.0388000000003</v>
      </c>
      <c r="F13" s="43" t="s">
        <v>152</v>
      </c>
      <c r="G13" s="98"/>
      <c r="H13" s="98"/>
      <c r="I13" s="98"/>
      <c r="J13" s="43" t="s">
        <v>152</v>
      </c>
      <c r="K13" s="98"/>
      <c r="L13" s="98"/>
      <c r="M13" s="98"/>
      <c r="N13" s="43" t="s">
        <v>152</v>
      </c>
      <c r="O13" s="98"/>
      <c r="P13" s="98"/>
      <c r="Q13" s="98"/>
      <c r="R13" s="43" t="s">
        <v>152</v>
      </c>
      <c r="S13" s="98"/>
      <c r="T13" s="98"/>
      <c r="U13" s="98"/>
      <c r="V13" s="43" t="s">
        <v>152</v>
      </c>
      <c r="W13" s="98"/>
      <c r="X13" s="98"/>
      <c r="Y13" s="98"/>
      <c r="Z13" s="43" t="s">
        <v>152</v>
      </c>
      <c r="AA13" s="98"/>
      <c r="AB13" s="98"/>
      <c r="AC13" s="98"/>
    </row>
    <row r="14" spans="1:29" ht="125.25" customHeight="1" x14ac:dyDescent="0.3">
      <c r="A14" s="41" t="s">
        <v>167</v>
      </c>
      <c r="B14" s="42">
        <v>2</v>
      </c>
      <c r="C14" s="98">
        <v>3483.33</v>
      </c>
      <c r="D14" s="98">
        <f t="shared" si="0"/>
        <v>557.33280000000002</v>
      </c>
      <c r="E14" s="98">
        <f t="shared" si="1"/>
        <v>8081.3256000000001</v>
      </c>
      <c r="F14" s="43" t="s">
        <v>152</v>
      </c>
      <c r="G14" s="98"/>
      <c r="H14" s="98"/>
      <c r="I14" s="98"/>
      <c r="J14" s="43" t="s">
        <v>152</v>
      </c>
      <c r="K14" s="98"/>
      <c r="L14" s="98"/>
      <c r="M14" s="98"/>
      <c r="N14" s="43" t="s">
        <v>152</v>
      </c>
      <c r="O14" s="98"/>
      <c r="P14" s="98"/>
      <c r="Q14" s="98"/>
      <c r="R14" s="43" t="s">
        <v>152</v>
      </c>
      <c r="S14" s="98"/>
      <c r="T14" s="98"/>
      <c r="U14" s="98"/>
      <c r="V14" s="43" t="s">
        <v>152</v>
      </c>
      <c r="W14" s="98"/>
      <c r="X14" s="98"/>
      <c r="Y14" s="98"/>
      <c r="Z14" s="43" t="s">
        <v>152</v>
      </c>
      <c r="AA14" s="98"/>
      <c r="AB14" s="98"/>
      <c r="AC14" s="98"/>
    </row>
    <row r="15" spans="1:29" ht="192" customHeight="1" x14ac:dyDescent="0.3">
      <c r="A15" s="41" t="s">
        <v>168</v>
      </c>
      <c r="B15" s="42">
        <v>1</v>
      </c>
      <c r="C15" s="98">
        <v>78375</v>
      </c>
      <c r="D15" s="98">
        <f t="shared" si="0"/>
        <v>12540</v>
      </c>
      <c r="E15" s="98">
        <f t="shared" si="1"/>
        <v>90915</v>
      </c>
      <c r="F15" s="43" t="s">
        <v>152</v>
      </c>
      <c r="G15" s="98"/>
      <c r="H15" s="98"/>
      <c r="I15" s="98"/>
      <c r="J15" s="43" t="s">
        <v>152</v>
      </c>
      <c r="K15" s="98"/>
      <c r="L15" s="98"/>
      <c r="M15" s="98"/>
      <c r="N15" s="43" t="s">
        <v>152</v>
      </c>
      <c r="O15" s="98"/>
      <c r="P15" s="98"/>
      <c r="Q15" s="98"/>
      <c r="R15" s="43" t="s">
        <v>152</v>
      </c>
      <c r="S15" s="98"/>
      <c r="T15" s="98"/>
      <c r="U15" s="98"/>
      <c r="V15" s="43" t="s">
        <v>152</v>
      </c>
      <c r="W15" s="98"/>
      <c r="X15" s="98"/>
      <c r="Y15" s="98"/>
      <c r="Z15" s="43" t="s">
        <v>152</v>
      </c>
      <c r="AA15" s="98"/>
      <c r="AB15" s="98"/>
      <c r="AC15" s="98"/>
    </row>
    <row r="16" spans="1:29" s="126" customFormat="1" ht="44.25" customHeight="1" x14ac:dyDescent="0.3">
      <c r="A16" s="122" t="s">
        <v>169</v>
      </c>
      <c r="B16" s="123">
        <v>2</v>
      </c>
      <c r="C16" s="124">
        <v>4005.83</v>
      </c>
      <c r="D16" s="124">
        <f t="shared" si="0"/>
        <v>640.93280000000004</v>
      </c>
      <c r="E16" s="124">
        <f t="shared" si="1"/>
        <v>9293.5256000000008</v>
      </c>
      <c r="F16" s="125">
        <v>1</v>
      </c>
      <c r="G16" s="124">
        <v>4005.83</v>
      </c>
      <c r="H16" s="124">
        <f t="shared" si="2"/>
        <v>640.93280000000004</v>
      </c>
      <c r="I16" s="124">
        <f>+(G16+H16)*F16</f>
        <v>4646.7628000000004</v>
      </c>
      <c r="J16" s="125">
        <v>1</v>
      </c>
      <c r="K16" s="124">
        <v>4005.83</v>
      </c>
      <c r="L16" s="124">
        <f>+K16*0.16</f>
        <v>640.93280000000004</v>
      </c>
      <c r="M16" s="124">
        <f>+(K16+L16)*J16</f>
        <v>4646.7628000000004</v>
      </c>
      <c r="N16" s="125">
        <v>1</v>
      </c>
      <c r="O16" s="124">
        <v>4005.83</v>
      </c>
      <c r="P16" s="124">
        <f>+O16*0.16</f>
        <v>640.93280000000004</v>
      </c>
      <c r="Q16" s="124">
        <f>+(O16+P16)*N16</f>
        <v>4646.7628000000004</v>
      </c>
      <c r="R16" s="125">
        <v>1</v>
      </c>
      <c r="S16" s="124">
        <v>4005.83</v>
      </c>
      <c r="T16" s="124">
        <f>+S16*0.16</f>
        <v>640.93280000000004</v>
      </c>
      <c r="U16" s="124">
        <f>+(S16+T16)*R16</f>
        <v>4646.7628000000004</v>
      </c>
      <c r="V16" s="125">
        <v>1</v>
      </c>
      <c r="W16" s="124">
        <v>4005.83</v>
      </c>
      <c r="X16" s="124">
        <v>0</v>
      </c>
      <c r="Y16" s="124">
        <f>+((W16+X16)*V16)*2</f>
        <v>8011.66</v>
      </c>
      <c r="Z16" s="125" t="s">
        <v>157</v>
      </c>
      <c r="AA16" s="124">
        <v>4005.83</v>
      </c>
      <c r="AB16" s="124">
        <f>+AA16*0.16</f>
        <v>640.93280000000004</v>
      </c>
      <c r="AC16" s="124">
        <f>+(AA16+AB16)*22</f>
        <v>102228.78160000002</v>
      </c>
    </row>
    <row r="17" spans="1:29" ht="27.75" customHeight="1" x14ac:dyDescent="0.3">
      <c r="A17" s="41" t="s">
        <v>170</v>
      </c>
      <c r="B17" s="42">
        <v>1</v>
      </c>
      <c r="C17" s="98">
        <v>58781.25</v>
      </c>
      <c r="D17" s="98">
        <f t="shared" si="0"/>
        <v>9405</v>
      </c>
      <c r="E17" s="98">
        <f t="shared" si="1"/>
        <v>68186.25</v>
      </c>
      <c r="F17" s="43" t="s">
        <v>152</v>
      </c>
      <c r="G17" s="98"/>
      <c r="H17" s="98"/>
      <c r="I17" s="98"/>
      <c r="J17" s="43" t="s">
        <v>152</v>
      </c>
      <c r="K17" s="98"/>
      <c r="L17" s="98"/>
      <c r="M17" s="98"/>
      <c r="N17" s="43" t="s">
        <v>152</v>
      </c>
      <c r="O17" s="98"/>
      <c r="P17" s="98"/>
      <c r="Q17" s="98"/>
      <c r="R17" s="43" t="s">
        <v>152</v>
      </c>
      <c r="S17" s="98"/>
      <c r="T17" s="98"/>
      <c r="U17" s="98"/>
      <c r="V17" s="43" t="s">
        <v>152</v>
      </c>
      <c r="W17" s="98"/>
      <c r="X17" s="98"/>
      <c r="Y17" s="98"/>
      <c r="Z17" s="43" t="s">
        <v>152</v>
      </c>
      <c r="AA17" s="98"/>
      <c r="AB17" s="98"/>
      <c r="AC17" s="98"/>
    </row>
    <row r="18" spans="1:29" ht="58.5" customHeight="1" x14ac:dyDescent="0.3">
      <c r="A18" s="41" t="s">
        <v>171</v>
      </c>
      <c r="B18" s="42">
        <v>1</v>
      </c>
      <c r="C18" s="98">
        <v>121916.67</v>
      </c>
      <c r="D18" s="98">
        <f t="shared" si="0"/>
        <v>19506.6672</v>
      </c>
      <c r="E18" s="98">
        <f t="shared" si="1"/>
        <v>141423.33720000001</v>
      </c>
      <c r="F18" s="43" t="s">
        <v>152</v>
      </c>
      <c r="G18" s="98"/>
      <c r="H18" s="98"/>
      <c r="I18" s="98"/>
      <c r="J18" s="43" t="s">
        <v>152</v>
      </c>
      <c r="K18" s="98"/>
      <c r="L18" s="98"/>
      <c r="M18" s="98"/>
      <c r="N18" s="43" t="s">
        <v>152</v>
      </c>
      <c r="O18" s="98"/>
      <c r="P18" s="98"/>
      <c r="Q18" s="98"/>
      <c r="R18" s="43" t="s">
        <v>152</v>
      </c>
      <c r="S18" s="98"/>
      <c r="T18" s="98"/>
      <c r="U18" s="98"/>
      <c r="V18" s="43" t="s">
        <v>152</v>
      </c>
      <c r="W18" s="98"/>
      <c r="X18" s="98"/>
      <c r="Y18" s="98"/>
      <c r="Z18" s="43" t="s">
        <v>152</v>
      </c>
      <c r="AA18" s="98"/>
      <c r="AB18" s="98"/>
      <c r="AC18" s="98"/>
    </row>
    <row r="19" spans="1:29" ht="93" customHeight="1" x14ac:dyDescent="0.3">
      <c r="A19" s="41" t="s">
        <v>172</v>
      </c>
      <c r="B19" s="42">
        <v>9</v>
      </c>
      <c r="C19" s="98">
        <v>544.27</v>
      </c>
      <c r="D19" s="98">
        <f t="shared" si="0"/>
        <v>87.083200000000005</v>
      </c>
      <c r="E19" s="98">
        <f t="shared" si="1"/>
        <v>5682.1787999999997</v>
      </c>
      <c r="F19" s="43">
        <v>1</v>
      </c>
      <c r="G19" s="98">
        <v>544.27</v>
      </c>
      <c r="H19" s="98">
        <f t="shared" si="2"/>
        <v>87.083200000000005</v>
      </c>
      <c r="I19" s="98">
        <f t="shared" si="3"/>
        <v>631.35320000000002</v>
      </c>
      <c r="J19" s="43">
        <v>1</v>
      </c>
      <c r="K19" s="98">
        <v>544.27</v>
      </c>
      <c r="L19" s="98">
        <f>+K19*0.16</f>
        <v>87.083200000000005</v>
      </c>
      <c r="M19" s="98">
        <f t="shared" si="4"/>
        <v>631.35320000000002</v>
      </c>
      <c r="N19" s="43">
        <v>1</v>
      </c>
      <c r="O19" s="98">
        <v>544.27</v>
      </c>
      <c r="P19" s="98">
        <f>+O19*0.16</f>
        <v>87.083200000000005</v>
      </c>
      <c r="Q19" s="98">
        <f t="shared" si="5"/>
        <v>631.35320000000002</v>
      </c>
      <c r="R19" s="43">
        <v>1</v>
      </c>
      <c r="S19" s="98">
        <v>544.27</v>
      </c>
      <c r="T19" s="98">
        <f>+S19*0.16</f>
        <v>87.083200000000005</v>
      </c>
      <c r="U19" s="98">
        <f t="shared" ref="U19" si="8">+(S19+T19)*R19</f>
        <v>631.35320000000002</v>
      </c>
      <c r="V19" s="43">
        <v>1</v>
      </c>
      <c r="W19" s="98">
        <v>544.27</v>
      </c>
      <c r="X19" s="98">
        <v>0</v>
      </c>
      <c r="Y19" s="98">
        <f>+((W19+X19)*V19)*2</f>
        <v>1088.54</v>
      </c>
      <c r="Z19" s="43" t="s">
        <v>157</v>
      </c>
      <c r="AA19" s="98">
        <v>544.27</v>
      </c>
      <c r="AB19" s="98">
        <f>+AA19*0.16</f>
        <v>87.083200000000005</v>
      </c>
      <c r="AC19" s="98">
        <f>+(AA19+AB19)*22</f>
        <v>13889.770400000001</v>
      </c>
    </row>
    <row r="20" spans="1:29" ht="94.5" customHeight="1" x14ac:dyDescent="0.3">
      <c r="A20" s="41" t="s">
        <v>173</v>
      </c>
      <c r="B20" s="42">
        <v>1</v>
      </c>
      <c r="C20" s="98">
        <v>10994.27</v>
      </c>
      <c r="D20" s="98">
        <f t="shared" si="0"/>
        <v>1759.0832</v>
      </c>
      <c r="E20" s="98">
        <f t="shared" si="1"/>
        <v>12753.353200000001</v>
      </c>
      <c r="F20" s="43" t="s">
        <v>152</v>
      </c>
      <c r="G20" s="98"/>
      <c r="H20" s="98"/>
      <c r="I20" s="98"/>
      <c r="J20" s="43" t="s">
        <v>152</v>
      </c>
      <c r="K20" s="98"/>
      <c r="L20" s="98"/>
      <c r="M20" s="98"/>
      <c r="N20" s="43" t="s">
        <v>152</v>
      </c>
      <c r="O20" s="98"/>
      <c r="P20" s="98"/>
      <c r="Q20" s="98"/>
      <c r="R20" s="43" t="s">
        <v>152</v>
      </c>
      <c r="S20" s="98"/>
      <c r="T20" s="98"/>
      <c r="U20" s="98"/>
      <c r="V20" s="43" t="s">
        <v>152</v>
      </c>
      <c r="W20" s="98"/>
      <c r="X20" s="98"/>
      <c r="Y20" s="98"/>
      <c r="Z20" s="43" t="s">
        <v>152</v>
      </c>
      <c r="AA20" s="98"/>
      <c r="AB20" s="98"/>
      <c r="AC20" s="98"/>
    </row>
    <row r="21" spans="1:29" ht="121.5" customHeight="1" x14ac:dyDescent="0.3">
      <c r="A21" s="37"/>
      <c r="B21" s="37"/>
      <c r="C21" s="100"/>
      <c r="D21" s="101" t="s">
        <v>198</v>
      </c>
      <c r="E21" s="102">
        <f>SUM(E3:E20)*8</f>
        <v>14457837.3408</v>
      </c>
      <c r="F21" s="37"/>
      <c r="G21" s="100"/>
      <c r="H21" s="101" t="s">
        <v>198</v>
      </c>
      <c r="I21" s="102">
        <f>SUM(I3:I20)*8</f>
        <v>1122132.8672</v>
      </c>
      <c r="J21" s="37"/>
      <c r="K21" s="100"/>
      <c r="L21" s="101" t="s">
        <v>198</v>
      </c>
      <c r="M21" s="102">
        <f>SUM(M3:M20)*8</f>
        <v>1122132.8672</v>
      </c>
      <c r="N21" s="38"/>
      <c r="O21" s="103"/>
      <c r="P21" s="101" t="s">
        <v>198</v>
      </c>
      <c r="Q21" s="102">
        <f>SUM(Q3:Q20)*8</f>
        <v>354406.16960000002</v>
      </c>
      <c r="R21" s="38"/>
      <c r="S21" s="103"/>
      <c r="T21" s="101" t="s">
        <v>198</v>
      </c>
      <c r="U21" s="102">
        <f>SUM(U3:U20)*8</f>
        <v>1122132.8672</v>
      </c>
      <c r="V21" s="44"/>
      <c r="W21" s="104"/>
      <c r="X21" s="101" t="s">
        <v>198</v>
      </c>
      <c r="Y21" s="102">
        <f>SUM(Y3:Y20)*8</f>
        <v>537895.03999999992</v>
      </c>
      <c r="Z21" s="38"/>
      <c r="AA21" s="103"/>
      <c r="AB21" s="101" t="s">
        <v>198</v>
      </c>
      <c r="AC21" s="102">
        <f>SUM(AC3:AC20)*8</f>
        <v>6863540.7104000002</v>
      </c>
    </row>
    <row r="22" spans="1:29" ht="156.75" customHeight="1" x14ac:dyDescent="0.3">
      <c r="A22" s="37"/>
      <c r="B22" s="37"/>
      <c r="C22" s="100"/>
      <c r="D22" s="101" t="s">
        <v>204</v>
      </c>
      <c r="E22" s="102">
        <f>+(((E21*3.66/100)/8)*12)+((E21/8)*12)</f>
        <v>22480491.28120992</v>
      </c>
      <c r="F22" s="37"/>
      <c r="G22" s="100"/>
      <c r="H22" s="101" t="s">
        <v>204</v>
      </c>
      <c r="I22" s="102">
        <f>+(((I21*3.66/100)/8)*12)+((I21/8)*12)</f>
        <v>1744804.3952092798</v>
      </c>
      <c r="J22" s="37"/>
      <c r="K22" s="100"/>
      <c r="L22" s="101" t="s">
        <v>204</v>
      </c>
      <c r="M22" s="102">
        <f>+(((M21*3.66/100)/8)*12)+((M21/8)*12)</f>
        <v>1744804.3952092798</v>
      </c>
      <c r="N22" s="38"/>
      <c r="O22" s="103"/>
      <c r="P22" s="101" t="s">
        <v>204</v>
      </c>
      <c r="Q22" s="102">
        <f>+(((Q21*3.66/100)/8)*12)+((Q21/8)*12)</f>
        <v>551066.15311104001</v>
      </c>
      <c r="R22" s="38"/>
      <c r="S22" s="103"/>
      <c r="T22" s="101" t="s">
        <v>204</v>
      </c>
      <c r="U22" s="102">
        <f>+(((U21*3.66/100)/8)*12)+((U21/8)*12)</f>
        <v>1744804.3952092798</v>
      </c>
      <c r="V22" s="44"/>
      <c r="W22" s="104"/>
      <c r="X22" s="101" t="s">
        <v>204</v>
      </c>
      <c r="Y22" s="102">
        <f>+(((Y21*3.66/100)/8)*12)+((Y21/8)*12)</f>
        <v>836372.9976959998</v>
      </c>
      <c r="Z22" s="38"/>
      <c r="AA22" s="103"/>
      <c r="AB22" s="101" t="s">
        <v>204</v>
      </c>
      <c r="AC22" s="102">
        <f>+(((AC21*3.66/100)/8)*12)+((AC21/8)*12)</f>
        <v>10672119.450600961</v>
      </c>
    </row>
    <row r="23" spans="1:29" ht="180" customHeight="1" x14ac:dyDescent="0.3">
      <c r="A23" s="37"/>
      <c r="B23" s="37"/>
      <c r="C23" s="100"/>
      <c r="D23" s="101" t="s">
        <v>205</v>
      </c>
      <c r="E23" s="102">
        <f>+(((E22*3.66/100)/12)*4)+((E22/12)*4)</f>
        <v>7767759.0873674015</v>
      </c>
      <c r="F23" s="37"/>
      <c r="G23" s="100"/>
      <c r="H23" s="101" t="s">
        <v>205</v>
      </c>
      <c r="I23" s="102">
        <f>+(((I22*3.66/100)/12)*4)+((I22/12)*4)</f>
        <v>602888.07869131316</v>
      </c>
      <c r="J23" s="37"/>
      <c r="K23" s="100"/>
      <c r="L23" s="101" t="s">
        <v>205</v>
      </c>
      <c r="M23" s="102">
        <f>+(((M22*3.66/100)/12)*4)+((M22/12)*4)</f>
        <v>602888.07869131316</v>
      </c>
      <c r="N23" s="38"/>
      <c r="O23" s="103"/>
      <c r="P23" s="101" t="s">
        <v>205</v>
      </c>
      <c r="Q23" s="102">
        <f>+(((Q22*3.66/100)/12)*4)+((Q22/12)*4)</f>
        <v>190411.7247716347</v>
      </c>
      <c r="R23" s="38"/>
      <c r="S23" s="103"/>
      <c r="T23" s="101" t="s">
        <v>205</v>
      </c>
      <c r="U23" s="102">
        <f>+(((U22*3.66/100)/12)*4)+((U22/12)*4)</f>
        <v>602888.07869131316</v>
      </c>
      <c r="V23" s="44"/>
      <c r="W23" s="104"/>
      <c r="X23" s="101" t="s">
        <v>205</v>
      </c>
      <c r="Y23" s="102">
        <f>+(((Y22*3.66/100)/12)*4)+((Y22/12)*4)</f>
        <v>288994.74980389111</v>
      </c>
      <c r="Z23" s="38"/>
      <c r="AA23" s="103"/>
      <c r="AB23" s="101" t="s">
        <v>205</v>
      </c>
      <c r="AC23" s="102">
        <f>+(((AC22*3.66/100)/12)*4)+((AC22/12)*4)</f>
        <v>3687573.007497652</v>
      </c>
    </row>
    <row r="24" spans="1:29" ht="165.75" customHeight="1" x14ac:dyDescent="0.3">
      <c r="A24" s="37"/>
      <c r="B24" s="37"/>
      <c r="C24" s="100"/>
      <c r="D24" s="101" t="s">
        <v>199</v>
      </c>
      <c r="E24" s="102">
        <f>SUM(E21:E23)</f>
        <v>44706087.709377319</v>
      </c>
      <c r="F24" s="37"/>
      <c r="G24" s="100"/>
      <c r="H24" s="101" t="s">
        <v>199</v>
      </c>
      <c r="I24" s="102">
        <f>SUM(I21:I23)</f>
        <v>3469825.3411005931</v>
      </c>
      <c r="J24" s="37"/>
      <c r="K24" s="100"/>
      <c r="L24" s="101" t="s">
        <v>199</v>
      </c>
      <c r="M24" s="102">
        <f>SUM(M21:M23)</f>
        <v>3469825.3411005931</v>
      </c>
      <c r="N24" s="37"/>
      <c r="O24" s="100"/>
      <c r="P24" s="101" t="s">
        <v>199</v>
      </c>
      <c r="Q24" s="102">
        <f>SUM(Q21:Q23)</f>
        <v>1095884.0474826747</v>
      </c>
      <c r="R24" s="37"/>
      <c r="S24" s="100"/>
      <c r="T24" s="101" t="s">
        <v>199</v>
      </c>
      <c r="U24" s="102">
        <f>SUM(U21:U23)</f>
        <v>3469825.3411005931</v>
      </c>
      <c r="V24" s="37"/>
      <c r="W24" s="100"/>
      <c r="X24" s="101" t="s">
        <v>199</v>
      </c>
      <c r="Y24" s="102">
        <f>SUM(Y21:Y23)</f>
        <v>1663262.7874998909</v>
      </c>
      <c r="Z24" s="37"/>
      <c r="AA24" s="103"/>
      <c r="AB24" s="101" t="s">
        <v>199</v>
      </c>
      <c r="AC24" s="102">
        <f>SUM(AC21:AC23)</f>
        <v>21223233.168498613</v>
      </c>
    </row>
    <row r="25" spans="1:29" x14ac:dyDescent="0.3">
      <c r="A25" s="37"/>
      <c r="B25" s="37"/>
      <c r="C25" s="100"/>
      <c r="D25" s="105"/>
      <c r="E25" s="100"/>
      <c r="F25" s="37"/>
      <c r="G25" s="100"/>
      <c r="H25" s="100"/>
      <c r="I25" s="100"/>
      <c r="J25" s="37"/>
      <c r="K25" s="100"/>
      <c r="L25" s="100"/>
      <c r="M25" s="100"/>
      <c r="N25" s="37"/>
      <c r="O25" s="100"/>
      <c r="P25" s="100"/>
      <c r="Q25" s="100"/>
      <c r="R25" s="37"/>
      <c r="S25" s="100"/>
      <c r="T25" s="100"/>
      <c r="U25" s="100"/>
      <c r="V25" s="37"/>
      <c r="W25" s="100"/>
      <c r="X25" s="100"/>
      <c r="Y25" s="100"/>
      <c r="Z25" s="37"/>
      <c r="AA25" s="103"/>
      <c r="AB25" s="100"/>
      <c r="AC25" s="106"/>
    </row>
    <row r="26" spans="1:29" ht="16.5" customHeight="1" x14ac:dyDescent="0.3">
      <c r="A26" s="37"/>
      <c r="B26" s="37"/>
      <c r="C26" s="100"/>
      <c r="D26" s="171" t="s">
        <v>206</v>
      </c>
      <c r="E26" s="171"/>
      <c r="F26" s="171"/>
      <c r="G26" s="171"/>
      <c r="H26" s="171"/>
      <c r="I26" s="171"/>
      <c r="J26" s="171"/>
      <c r="K26" s="171"/>
      <c r="L26" s="171"/>
      <c r="M26" s="171"/>
      <c r="N26" s="171"/>
      <c r="O26" s="171"/>
      <c r="P26" s="171"/>
      <c r="Q26" s="197">
        <f>+AC24+Y24+U24+Q24+M24+I24+E24</f>
        <v>79097943.736160278</v>
      </c>
      <c r="R26" s="198"/>
      <c r="S26" s="198"/>
      <c r="T26" s="198"/>
      <c r="U26" s="198"/>
      <c r="V26" s="198"/>
      <c r="W26" s="198"/>
      <c r="X26" s="198"/>
      <c r="Y26" s="198"/>
      <c r="Z26" s="198"/>
      <c r="AA26" s="198"/>
      <c r="AB26" s="198"/>
      <c r="AC26" s="199"/>
    </row>
    <row r="27" spans="1:29" x14ac:dyDescent="0.3">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8"/>
      <c r="AB27" s="37"/>
    </row>
    <row r="28" spans="1:29" x14ac:dyDescent="0.3">
      <c r="A28" s="165" t="s">
        <v>182</v>
      </c>
      <c r="B28" s="165"/>
      <c r="C28" s="165"/>
      <c r="D28" s="165"/>
      <c r="E28" s="165"/>
      <c r="F28" s="165"/>
      <c r="G28" s="165"/>
      <c r="H28" s="165"/>
      <c r="I28" s="165"/>
      <c r="J28" s="165"/>
      <c r="K28" s="165"/>
      <c r="L28" s="165"/>
      <c r="M28" s="165"/>
      <c r="N28" s="165"/>
      <c r="O28" s="165"/>
      <c r="P28" s="165"/>
      <c r="Q28" s="165"/>
      <c r="Y28" s="108"/>
    </row>
    <row r="29" spans="1:29" x14ac:dyDescent="0.3">
      <c r="A29" s="165"/>
      <c r="B29" s="165"/>
      <c r="C29" s="165"/>
      <c r="D29" s="165"/>
      <c r="E29" s="165"/>
      <c r="F29" s="165"/>
      <c r="G29" s="165"/>
      <c r="H29" s="165"/>
      <c r="I29" s="165"/>
      <c r="J29" s="165"/>
      <c r="K29" s="165"/>
      <c r="L29" s="165"/>
      <c r="M29" s="165"/>
      <c r="N29" s="165"/>
      <c r="O29" s="165"/>
      <c r="P29" s="165"/>
      <c r="Q29" s="165"/>
      <c r="AA29" s="109"/>
    </row>
    <row r="30" spans="1:29" x14ac:dyDescent="0.3">
      <c r="A30" s="1"/>
      <c r="B30" s="1"/>
      <c r="C30" s="1"/>
      <c r="D30" s="1"/>
      <c r="E30" s="1"/>
      <c r="F30" s="1"/>
      <c r="G30" s="1"/>
      <c r="H30" s="1"/>
      <c r="I30" s="19"/>
      <c r="J30" s="19"/>
      <c r="K30" s="19"/>
      <c r="L30" s="19"/>
      <c r="M30" s="19"/>
      <c r="N30" s="19"/>
      <c r="O30" s="19"/>
      <c r="P30" s="19"/>
      <c r="Q30" s="19"/>
      <c r="Y30" s="107"/>
    </row>
    <row r="31" spans="1:29" ht="120.75" customHeight="1" x14ac:dyDescent="0.3">
      <c r="A31" s="51" t="s">
        <v>179</v>
      </c>
      <c r="B31" s="166" t="s">
        <v>180</v>
      </c>
      <c r="C31" s="166"/>
      <c r="D31" s="166"/>
      <c r="E31" s="166"/>
      <c r="F31" s="166"/>
      <c r="G31" s="166"/>
      <c r="H31" s="49" t="s">
        <v>181</v>
      </c>
      <c r="I31" s="19"/>
      <c r="J31" s="19"/>
      <c r="K31" s="19"/>
      <c r="L31" s="19"/>
      <c r="M31" s="19"/>
      <c r="N31" s="19"/>
      <c r="O31" s="19"/>
      <c r="P31" s="19"/>
      <c r="Q31" s="19"/>
    </row>
    <row r="32" spans="1:29" x14ac:dyDescent="0.3">
      <c r="A32" s="50"/>
      <c r="B32" s="167"/>
      <c r="C32" s="167"/>
      <c r="D32" s="167"/>
      <c r="E32" s="167"/>
      <c r="F32" s="167"/>
      <c r="G32" s="167"/>
      <c r="H32" s="2"/>
      <c r="I32" s="19"/>
      <c r="J32" s="19"/>
      <c r="K32" s="19"/>
      <c r="L32" s="19"/>
      <c r="M32" s="19"/>
      <c r="N32" s="19"/>
      <c r="O32" s="19"/>
      <c r="P32" s="19"/>
      <c r="Q32" s="19"/>
    </row>
    <row r="34" spans="1:17" x14ac:dyDescent="0.3">
      <c r="A34" s="168" t="s">
        <v>183</v>
      </c>
      <c r="B34" s="168"/>
      <c r="C34" s="168"/>
      <c r="D34" s="168"/>
      <c r="E34" s="168"/>
      <c r="F34" s="168"/>
      <c r="G34" s="168"/>
      <c r="H34" s="168"/>
      <c r="I34" s="168"/>
      <c r="J34" s="168"/>
      <c r="K34" s="168"/>
      <c r="L34" s="168"/>
      <c r="M34" s="168"/>
      <c r="N34" s="168"/>
      <c r="O34" s="168"/>
      <c r="P34" s="168"/>
      <c r="Q34" s="168"/>
    </row>
  </sheetData>
  <mergeCells count="14">
    <mergeCell ref="B32:G32"/>
    <mergeCell ref="A34:Q34"/>
    <mergeCell ref="Z1:AC1"/>
    <mergeCell ref="A1:A2"/>
    <mergeCell ref="B1:E1"/>
    <mergeCell ref="F1:I1"/>
    <mergeCell ref="J1:M1"/>
    <mergeCell ref="N1:Q1"/>
    <mergeCell ref="R1:U1"/>
    <mergeCell ref="V1:Y1"/>
    <mergeCell ref="D26:P26"/>
    <mergeCell ref="Q26:AC26"/>
    <mergeCell ref="A28:Q29"/>
    <mergeCell ref="B31:G3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workbookViewId="0">
      <selection activeCell="A16" sqref="A16"/>
    </sheetView>
  </sheetViews>
  <sheetFormatPr baseColWidth="10" defaultRowHeight="15" x14ac:dyDescent="0.25"/>
  <cols>
    <col min="1" max="1" width="27.85546875" customWidth="1"/>
  </cols>
  <sheetData>
    <row r="1" spans="1:17" ht="24.75" customHeight="1" x14ac:dyDescent="0.25">
      <c r="A1" s="203" t="s">
        <v>28</v>
      </c>
      <c r="B1" s="177" t="s">
        <v>142</v>
      </c>
      <c r="C1" s="177"/>
      <c r="D1" s="177"/>
      <c r="E1" s="177"/>
      <c r="F1" s="177" t="s">
        <v>143</v>
      </c>
      <c r="G1" s="177"/>
      <c r="H1" s="177"/>
      <c r="I1" s="177"/>
      <c r="J1" s="177" t="s">
        <v>144</v>
      </c>
      <c r="K1" s="177"/>
      <c r="L1" s="177"/>
      <c r="M1" s="177"/>
      <c r="N1" s="45"/>
    </row>
    <row r="2" spans="1:17" ht="36" x14ac:dyDescent="0.25">
      <c r="A2" s="203"/>
      <c r="B2" s="25" t="s">
        <v>139</v>
      </c>
      <c r="C2" s="25" t="s">
        <v>175</v>
      </c>
      <c r="D2" s="25" t="s">
        <v>193</v>
      </c>
      <c r="E2" s="25" t="s">
        <v>200</v>
      </c>
      <c r="F2" s="25" t="s">
        <v>138</v>
      </c>
      <c r="G2" s="25" t="s">
        <v>175</v>
      </c>
      <c r="H2" s="25" t="s">
        <v>193</v>
      </c>
      <c r="I2" s="25" t="s">
        <v>200</v>
      </c>
      <c r="J2" s="25" t="s">
        <v>138</v>
      </c>
      <c r="K2" s="25" t="s">
        <v>175</v>
      </c>
      <c r="L2" s="25" t="s">
        <v>193</v>
      </c>
      <c r="M2" s="25" t="s">
        <v>200</v>
      </c>
    </row>
    <row r="3" spans="1:17" ht="36" x14ac:dyDescent="0.25">
      <c r="A3" s="46" t="s">
        <v>174</v>
      </c>
      <c r="B3" s="110">
        <v>1</v>
      </c>
      <c r="C3" s="110">
        <v>1650000</v>
      </c>
      <c r="D3" s="110">
        <f>+C3*0.16</f>
        <v>264000</v>
      </c>
      <c r="E3" s="110">
        <f>+C3+D3</f>
        <v>1914000</v>
      </c>
      <c r="F3" s="110">
        <v>2</v>
      </c>
      <c r="G3" s="110">
        <f>+(C3*3.66/100)+C3</f>
        <v>1710390</v>
      </c>
      <c r="H3" s="110">
        <f>+G3*0.16</f>
        <v>273662.40000000002</v>
      </c>
      <c r="I3" s="110">
        <f>+(G3+H3)*2</f>
        <v>3968104.8</v>
      </c>
      <c r="J3" s="110">
        <v>1</v>
      </c>
      <c r="K3" s="110">
        <f>+(G3*3.66/100)+G3</f>
        <v>1772990.274</v>
      </c>
      <c r="L3" s="110">
        <f>+K3*0.16</f>
        <v>283678.44384000002</v>
      </c>
      <c r="M3" s="110">
        <f>+(K3+L3)</f>
        <v>2056668.7178400001</v>
      </c>
    </row>
    <row r="4" spans="1:17" ht="6.75" customHeight="1" x14ac:dyDescent="0.25">
      <c r="A4" s="14"/>
      <c r="B4" s="89"/>
      <c r="C4" s="89"/>
      <c r="D4" s="60"/>
      <c r="E4" s="89"/>
      <c r="F4" s="89"/>
      <c r="G4" s="89"/>
      <c r="H4" s="89"/>
      <c r="I4" s="89"/>
      <c r="J4" s="89"/>
      <c r="K4" s="89"/>
      <c r="L4" s="89"/>
      <c r="M4" s="35"/>
    </row>
    <row r="5" spans="1:17" ht="15" customHeight="1" x14ac:dyDescent="0.25">
      <c r="A5" s="171" t="s">
        <v>199</v>
      </c>
      <c r="B5" s="171"/>
      <c r="C5" s="171"/>
      <c r="D5" s="171"/>
      <c r="E5" s="171"/>
      <c r="F5" s="171"/>
      <c r="G5" s="171"/>
      <c r="H5" s="171"/>
      <c r="I5" s="171"/>
      <c r="J5" s="200">
        <f>+M3+I3+E3</f>
        <v>7938773.5178399999</v>
      </c>
      <c r="K5" s="201"/>
      <c r="L5" s="201"/>
      <c r="M5" s="202"/>
    </row>
    <row r="6" spans="1:17" ht="9" customHeight="1" x14ac:dyDescent="0.25">
      <c r="A6" s="14"/>
    </row>
    <row r="7" spans="1:17" ht="15" customHeight="1" x14ac:dyDescent="0.25">
      <c r="A7" s="165" t="s">
        <v>182</v>
      </c>
      <c r="B7" s="165"/>
      <c r="C7" s="165"/>
      <c r="D7" s="165"/>
      <c r="E7" s="165"/>
      <c r="F7" s="165"/>
      <c r="G7" s="165"/>
      <c r="H7" s="165"/>
      <c r="I7" s="165"/>
      <c r="J7" s="165"/>
      <c r="K7" s="165"/>
      <c r="L7" s="165"/>
      <c r="M7" s="165"/>
      <c r="N7" s="52"/>
      <c r="O7" s="52"/>
      <c r="P7" s="52"/>
      <c r="Q7" s="52"/>
    </row>
    <row r="8" spans="1:17" ht="5.25" customHeight="1" x14ac:dyDescent="0.25">
      <c r="A8" s="1"/>
      <c r="B8" s="1"/>
      <c r="C8" s="1"/>
      <c r="D8" s="1"/>
      <c r="E8" s="1"/>
      <c r="F8" s="1"/>
      <c r="G8" s="1"/>
      <c r="H8" s="1"/>
      <c r="I8" s="19"/>
      <c r="J8" s="19"/>
      <c r="K8" s="19"/>
      <c r="L8" s="19"/>
      <c r="M8" s="19"/>
      <c r="N8" s="19"/>
      <c r="O8" s="19"/>
      <c r="P8" s="19"/>
      <c r="Q8" s="19"/>
    </row>
    <row r="9" spans="1:17" ht="81" x14ac:dyDescent="0.25">
      <c r="A9" s="48" t="s">
        <v>179</v>
      </c>
      <c r="B9" s="166" t="s">
        <v>180</v>
      </c>
      <c r="C9" s="166"/>
      <c r="D9" s="166"/>
      <c r="E9" s="166"/>
      <c r="F9" s="166"/>
      <c r="G9" s="166"/>
      <c r="H9" s="49" t="s">
        <v>181</v>
      </c>
      <c r="I9" s="19"/>
      <c r="J9" s="19"/>
      <c r="K9" s="19"/>
      <c r="L9" s="19"/>
      <c r="M9" s="19"/>
      <c r="N9" s="19"/>
      <c r="O9" s="19"/>
      <c r="P9" s="19"/>
      <c r="Q9" s="19"/>
    </row>
    <row r="10" spans="1:17" x14ac:dyDescent="0.25">
      <c r="A10" s="50"/>
      <c r="B10" s="167"/>
      <c r="C10" s="167"/>
      <c r="D10" s="167"/>
      <c r="E10" s="167"/>
      <c r="F10" s="167"/>
      <c r="G10" s="167"/>
      <c r="H10" s="2"/>
      <c r="I10" s="19"/>
      <c r="J10" s="19"/>
      <c r="K10" s="19"/>
      <c r="L10" s="19"/>
      <c r="M10" s="19"/>
      <c r="N10" s="19"/>
      <c r="O10" s="19"/>
      <c r="P10" s="19"/>
      <c r="Q10" s="19"/>
    </row>
    <row r="12" spans="1:17" ht="15" customHeight="1" x14ac:dyDescent="0.25">
      <c r="A12" s="168" t="s">
        <v>183</v>
      </c>
      <c r="B12" s="168"/>
      <c r="C12" s="168"/>
      <c r="D12" s="168"/>
      <c r="E12" s="168"/>
      <c r="F12" s="168"/>
      <c r="G12" s="168"/>
      <c r="H12" s="168"/>
      <c r="I12" s="168"/>
      <c r="J12" s="168"/>
      <c r="K12" s="168"/>
      <c r="L12" s="168"/>
      <c r="M12" s="168"/>
      <c r="N12" s="54"/>
      <c r="O12" s="54"/>
      <c r="P12" s="54"/>
      <c r="Q12" s="54"/>
    </row>
    <row r="14" spans="1:17" x14ac:dyDescent="0.25">
      <c r="A14" s="211" t="s">
        <v>212</v>
      </c>
      <c r="B14" s="211"/>
      <c r="C14" s="211"/>
      <c r="D14" s="211"/>
      <c r="E14" s="211"/>
      <c r="F14" s="211"/>
      <c r="G14" s="211"/>
      <c r="H14" s="211"/>
      <c r="I14" s="211"/>
      <c r="J14" s="211"/>
      <c r="K14" s="211"/>
      <c r="L14" s="211"/>
      <c r="M14" s="211"/>
    </row>
  </sheetData>
  <mergeCells count="11">
    <mergeCell ref="A14:M14"/>
    <mergeCell ref="B9:G9"/>
    <mergeCell ref="B10:G10"/>
    <mergeCell ref="A7:M7"/>
    <mergeCell ref="A12:M12"/>
    <mergeCell ref="A5:I5"/>
    <mergeCell ref="F1:I1"/>
    <mergeCell ref="J1:M1"/>
    <mergeCell ref="J5:M5"/>
    <mergeCell ref="A1:A2"/>
    <mergeCell ref="B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9"/>
  <sheetViews>
    <sheetView workbookViewId="0">
      <selection activeCell="E21" sqref="E21"/>
    </sheetView>
  </sheetViews>
  <sheetFormatPr baseColWidth="10" defaultRowHeight="15" x14ac:dyDescent="0.25"/>
  <cols>
    <col min="5" max="5" width="20.85546875" customWidth="1"/>
    <col min="6" max="6" width="81.5703125" style="112" customWidth="1"/>
  </cols>
  <sheetData>
    <row r="2" spans="1:6" x14ac:dyDescent="0.25">
      <c r="A2" s="205" t="s">
        <v>211</v>
      </c>
      <c r="B2" s="206"/>
      <c r="C2" s="206"/>
      <c r="D2" s="206"/>
      <c r="E2" s="206"/>
      <c r="F2" s="207"/>
    </row>
    <row r="3" spans="1:6" x14ac:dyDescent="0.25">
      <c r="A3" s="208"/>
      <c r="B3" s="209"/>
      <c r="C3" s="209"/>
      <c r="D3" s="209"/>
      <c r="E3" s="209"/>
      <c r="F3" s="210"/>
    </row>
    <row r="4" spans="1:6" x14ac:dyDescent="0.25">
      <c r="A4" s="204" t="s">
        <v>186</v>
      </c>
      <c r="B4" s="204"/>
      <c r="C4" s="204"/>
      <c r="D4" s="204"/>
      <c r="E4" s="204"/>
      <c r="F4" s="111">
        <f>+'Recurso Humano'!H81+'Recurso Humano'!H82+'Recurso Humano'!H83+'Insumos Aseo Cafetería'!B2+'Insumos Aseo Cafetería'!B3+'Insumos Aseo Cafetería'!B4+'Servicio Fumigación'!I44+'Equipos y Elementos Mínimos'!E21+'Equipos y Elementos Mínimos'!I21+'Equipos y Elementos Mínimos'!M21+'Equipos y Elementos Mínimos'!Q21+'Equipos y Elementos Mínimos'!U21+'Equipos y Elementos Mínimos'!Y21+'Equipos y Elementos Mínimos'!AC21+'Lavada Vidrios'!E3</f>
        <v>498805123.83587199</v>
      </c>
    </row>
    <row r="5" spans="1:6" x14ac:dyDescent="0.25">
      <c r="A5" s="204" t="s">
        <v>187</v>
      </c>
      <c r="B5" s="204"/>
      <c r="C5" s="204"/>
      <c r="D5" s="204"/>
      <c r="E5" s="204"/>
      <c r="F5" s="111">
        <f>+'Recurso Humano'!H84+'Recurso Humano'!H85+'Recurso Humano'!H86+'Insumos Aseo Cafetería'!C2+'Insumos Aseo Cafetería'!C3+'Insumos Aseo Cafetería'!C4+'Servicio Fumigación'!M44+'Equipos y Elementos Mínimos'!M22+'Equipos y Elementos Mínimos'!Q22+'Equipos y Elementos Mínimos'!U22+'Equipos y Elementos Mínimos'!Y22+'Equipos y Elementos Mínimos'!AC22++'Equipos y Elementos Mínimos'!I22+'Equipos y Elementos Mínimos'!E22+'Lavada Vidrios'!I3</f>
        <v>796934149.34469593</v>
      </c>
    </row>
    <row r="6" spans="1:6" x14ac:dyDescent="0.25">
      <c r="A6" s="204" t="s">
        <v>188</v>
      </c>
      <c r="B6" s="204"/>
      <c r="C6" s="204"/>
      <c r="D6" s="204"/>
      <c r="E6" s="204"/>
      <c r="F6" s="111">
        <f>+'Recurso Humano'!H87+'Recurso Humano'!H88+'Recurso Humano'!H89+'Insumos Aseo Cafetería'!D2+'Insumos Aseo Cafetería'!D3+'Insumos Aseo Cafetería'!D4+'Servicio Fumigación'!Q44+'Equipos y Elementos Mínimos'!E23+'Equipos y Elementos Mínimos'!I23+'Equipos y Elementos Mínimos'!M23+'Equipos y Elementos Mínimos'!U23+'Equipos y Elementos Mínimos'!Q23+'Equipos y Elementos Mínimos'!Y23+'Equipos y Elementos Mínimos'!AC23+'Lavada Vidrios'!M3</f>
        <v>288747978.39316422</v>
      </c>
    </row>
    <row r="7" spans="1:6" ht="2.25" customHeight="1" x14ac:dyDescent="0.25">
      <c r="A7" s="55"/>
      <c r="B7" s="55"/>
      <c r="C7" s="55"/>
      <c r="D7" s="55"/>
      <c r="E7" s="55"/>
      <c r="F7" s="111"/>
    </row>
    <row r="8" spans="1:6" x14ac:dyDescent="0.25">
      <c r="A8" s="204" t="s">
        <v>184</v>
      </c>
      <c r="B8" s="204"/>
      <c r="C8" s="204"/>
      <c r="D8" s="204"/>
      <c r="E8" s="204"/>
      <c r="F8" s="111"/>
    </row>
    <row r="9" spans="1:6" x14ac:dyDescent="0.25">
      <c r="A9" s="204" t="s">
        <v>185</v>
      </c>
      <c r="B9" s="204"/>
      <c r="C9" s="204"/>
      <c r="D9" s="204"/>
      <c r="E9" s="204"/>
      <c r="F9" s="113">
        <f>SUM(F4:F6)</f>
        <v>1584487251.5737321</v>
      </c>
    </row>
  </sheetData>
  <mergeCells count="6">
    <mergeCell ref="A9:E9"/>
    <mergeCell ref="A2:F3"/>
    <mergeCell ref="A4:E4"/>
    <mergeCell ref="A5:E5"/>
    <mergeCell ref="A6:E6"/>
    <mergeCell ref="A8:E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Recurso Humano</vt:lpstr>
      <vt:lpstr>Insumos Aseo Cafetería</vt:lpstr>
      <vt:lpstr>Servicio Fumigación</vt:lpstr>
      <vt:lpstr>Equipos y Elementos Mínimos</vt:lpstr>
      <vt:lpstr>Lavada Vidrios</vt:lpstr>
      <vt:lpstr>VLR TOTAL PROPUESTA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Carolina Omaña Garcia</dc:creator>
  <cp:lastModifiedBy>Julie Carolina Omaña Garcia</cp:lastModifiedBy>
  <dcterms:created xsi:type="dcterms:W3CDTF">2015-03-20T13:49:04Z</dcterms:created>
  <dcterms:modified xsi:type="dcterms:W3CDTF">2015-04-17T01:03:34Z</dcterms:modified>
</cp:coreProperties>
</file>