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170" firstSheet="2" activeTab="5"/>
  </bookViews>
  <sheets>
    <sheet name="Recurso Humano" sheetId="1" r:id="rId1"/>
    <sheet name="Insumos Aseo Cafetería" sheetId="2" r:id="rId2"/>
    <sheet name="Equipos y Elementos Mínimos" sheetId="4" r:id="rId3"/>
    <sheet name="Servicio Fumigación" sheetId="3" r:id="rId4"/>
    <sheet name="Lavada Vidrios" sheetId="5" r:id="rId5"/>
    <sheet name="VLR TOTAL PROPUESTA" sheetId="6" r:id="rId6"/>
  </sheets>
  <calcPr calcId="145621"/>
</workbook>
</file>

<file path=xl/calcChain.xml><?xml version="1.0" encoding="utf-8"?>
<calcChain xmlns="http://schemas.openxmlformats.org/spreadsheetml/2006/main">
  <c r="H84" i="1" l="1"/>
  <c r="H87" i="1" s="1"/>
  <c r="F16" i="1"/>
  <c r="F67" i="1"/>
  <c r="F54" i="1"/>
  <c r="G54" i="1" s="1"/>
  <c r="F42" i="1"/>
  <c r="F5" i="1"/>
  <c r="F29" i="1"/>
  <c r="H29" i="1" s="1"/>
  <c r="F17" i="1"/>
  <c r="G17" i="1" s="1"/>
  <c r="G5" i="1" l="1"/>
  <c r="H5" i="1" s="1"/>
  <c r="H54" i="1"/>
  <c r="H16" i="1"/>
  <c r="G16" i="1"/>
  <c r="G67" i="1"/>
  <c r="H67" i="1" s="1"/>
  <c r="G42" i="1"/>
  <c r="H42" i="1" s="1"/>
  <c r="G9" i="6"/>
  <c r="K3" i="5"/>
  <c r="G3" i="5"/>
  <c r="H3" i="5" s="1"/>
  <c r="I3" i="5" s="1"/>
  <c r="D3" i="5"/>
  <c r="E3" i="5" s="1"/>
  <c r="K33" i="3"/>
  <c r="K34" i="3"/>
  <c r="O34" i="3" s="1"/>
  <c r="K35" i="3"/>
  <c r="L35" i="3" s="1"/>
  <c r="K36" i="3"/>
  <c r="O36" i="3" s="1"/>
  <c r="K37" i="3"/>
  <c r="K38" i="3"/>
  <c r="O38" i="3" s="1"/>
  <c r="K39" i="3"/>
  <c r="L39" i="3" s="1"/>
  <c r="K40" i="3"/>
  <c r="O40" i="3" s="1"/>
  <c r="K41" i="3"/>
  <c r="K42" i="3"/>
  <c r="O42" i="3" s="1"/>
  <c r="K43" i="3"/>
  <c r="L43" i="3" s="1"/>
  <c r="K32" i="3"/>
  <c r="O32" i="3" s="1"/>
  <c r="K31" i="3"/>
  <c r="O31" i="3" s="1"/>
  <c r="H43" i="3"/>
  <c r="I43" i="3"/>
  <c r="H42" i="3"/>
  <c r="I42" i="3" s="1"/>
  <c r="H41" i="3"/>
  <c r="I41" i="3"/>
  <c r="H40" i="3"/>
  <c r="I40" i="3" s="1"/>
  <c r="H39" i="3"/>
  <c r="I39" i="3" s="1"/>
  <c r="H38" i="3"/>
  <c r="I38" i="3" s="1"/>
  <c r="H37" i="3"/>
  <c r="I37" i="3" s="1"/>
  <c r="H36" i="3"/>
  <c r="I36" i="3" s="1"/>
  <c r="H35" i="3"/>
  <c r="I35" i="3"/>
  <c r="H34" i="3"/>
  <c r="I34" i="3" s="1"/>
  <c r="H33" i="3"/>
  <c r="I33" i="3" s="1"/>
  <c r="H32" i="3"/>
  <c r="I32" i="3" s="1"/>
  <c r="H31" i="3"/>
  <c r="I31" i="3" s="1"/>
  <c r="P5" i="3"/>
  <c r="Q5" i="3" s="1"/>
  <c r="P6" i="3"/>
  <c r="Q6" i="3" s="1"/>
  <c r="P7" i="3"/>
  <c r="Q7" i="3" s="1"/>
  <c r="P8" i="3"/>
  <c r="Q8" i="3" s="1"/>
  <c r="P9" i="3"/>
  <c r="Q9" i="3" s="1"/>
  <c r="P10" i="3"/>
  <c r="Q10" i="3" s="1"/>
  <c r="P11" i="3"/>
  <c r="Q11" i="3" s="1"/>
  <c r="P12" i="3"/>
  <c r="Q12" i="3" s="1"/>
  <c r="P13" i="3"/>
  <c r="Q13" i="3" s="1"/>
  <c r="P14" i="3"/>
  <c r="Q14" i="3" s="1"/>
  <c r="P15" i="3"/>
  <c r="Q15" i="3" s="1"/>
  <c r="P16" i="3"/>
  <c r="Q16" i="3" s="1"/>
  <c r="P17" i="3"/>
  <c r="Q17" i="3" s="1"/>
  <c r="P18" i="3"/>
  <c r="Q18" i="3" s="1"/>
  <c r="P19" i="3"/>
  <c r="Q19" i="3" s="1"/>
  <c r="P20" i="3"/>
  <c r="Q20" i="3" s="1"/>
  <c r="P21" i="3"/>
  <c r="Q21" i="3" s="1"/>
  <c r="P22" i="3"/>
  <c r="Q22" i="3" s="1"/>
  <c r="P23" i="3"/>
  <c r="Q23" i="3" s="1"/>
  <c r="P24" i="3"/>
  <c r="Q24" i="3" s="1"/>
  <c r="P25" i="3"/>
  <c r="Q25" i="3" s="1"/>
  <c r="P26" i="3"/>
  <c r="Q26" i="3" s="1"/>
  <c r="P27" i="3"/>
  <c r="Q27" i="3" s="1"/>
  <c r="P28" i="3"/>
  <c r="Q28" i="3" s="1"/>
  <c r="P29" i="3"/>
  <c r="Q29" i="3" s="1"/>
  <c r="P30" i="3"/>
  <c r="Q30" i="3" s="1"/>
  <c r="P4" i="3"/>
  <c r="Q4" i="3" s="1"/>
  <c r="L5" i="3"/>
  <c r="M5" i="3" s="1"/>
  <c r="L6" i="3"/>
  <c r="M6" i="3" s="1"/>
  <c r="L7" i="3"/>
  <c r="M7" i="3" s="1"/>
  <c r="L8" i="3"/>
  <c r="M8" i="3" s="1"/>
  <c r="L9" i="3"/>
  <c r="M9" i="3" s="1"/>
  <c r="L10" i="3"/>
  <c r="M10" i="3" s="1"/>
  <c r="L11" i="3"/>
  <c r="M11" i="3" s="1"/>
  <c r="L12" i="3"/>
  <c r="M12" i="3" s="1"/>
  <c r="L13" i="3"/>
  <c r="M13" i="3" s="1"/>
  <c r="L14" i="3"/>
  <c r="M14" i="3" s="1"/>
  <c r="M15" i="3"/>
  <c r="L16" i="3"/>
  <c r="M16" i="3" s="1"/>
  <c r="L17" i="3"/>
  <c r="M17" i="3" s="1"/>
  <c r="L18" i="3"/>
  <c r="M18" i="3" s="1"/>
  <c r="L19" i="3"/>
  <c r="M19" i="3" s="1"/>
  <c r="L20" i="3"/>
  <c r="M20" i="3" s="1"/>
  <c r="L21" i="3"/>
  <c r="M21" i="3" s="1"/>
  <c r="L22" i="3"/>
  <c r="M22" i="3" s="1"/>
  <c r="L23" i="3"/>
  <c r="M23" i="3" s="1"/>
  <c r="L24" i="3"/>
  <c r="M24" i="3" s="1"/>
  <c r="L25" i="3"/>
  <c r="M25" i="3" s="1"/>
  <c r="L26" i="3"/>
  <c r="M26" i="3" s="1"/>
  <c r="L27" i="3"/>
  <c r="M27" i="3" s="1"/>
  <c r="L28" i="3"/>
  <c r="M28" i="3" s="1"/>
  <c r="L29" i="3"/>
  <c r="M29" i="3" s="1"/>
  <c r="L30" i="3"/>
  <c r="M30" i="3" s="1"/>
  <c r="H5" i="3"/>
  <c r="I5" i="3" s="1"/>
  <c r="H6" i="3"/>
  <c r="I6" i="3" s="1"/>
  <c r="H7" i="3"/>
  <c r="I7" i="3" s="1"/>
  <c r="H8" i="3"/>
  <c r="I8" i="3" s="1"/>
  <c r="H9" i="3"/>
  <c r="I9" i="3" s="1"/>
  <c r="H10" i="3"/>
  <c r="I10" i="3" s="1"/>
  <c r="H11" i="3"/>
  <c r="I11" i="3" s="1"/>
  <c r="H12" i="3"/>
  <c r="I12" i="3" s="1"/>
  <c r="H13" i="3"/>
  <c r="I13" i="3" s="1"/>
  <c r="H14" i="3"/>
  <c r="I14" i="3" s="1"/>
  <c r="I15" i="3"/>
  <c r="H16" i="3"/>
  <c r="I16" i="3" s="1"/>
  <c r="H17" i="3"/>
  <c r="I17" i="3" s="1"/>
  <c r="H18" i="3"/>
  <c r="I18" i="3" s="1"/>
  <c r="H19" i="3"/>
  <c r="I19" i="3" s="1"/>
  <c r="H20" i="3"/>
  <c r="I20" i="3" s="1"/>
  <c r="H21" i="3"/>
  <c r="I21" i="3" s="1"/>
  <c r="H22" i="3"/>
  <c r="I22" i="3" s="1"/>
  <c r="H23" i="3"/>
  <c r="I23" i="3" s="1"/>
  <c r="H24" i="3"/>
  <c r="I24" i="3" s="1"/>
  <c r="H25" i="3"/>
  <c r="I25" i="3"/>
  <c r="H26" i="3"/>
  <c r="I26" i="3" s="1"/>
  <c r="H27" i="3"/>
  <c r="I27" i="3" s="1"/>
  <c r="H28" i="3"/>
  <c r="I28" i="3" s="1"/>
  <c r="H29" i="3"/>
  <c r="I29" i="3" s="1"/>
  <c r="H30" i="3"/>
  <c r="I30" i="3" s="1"/>
  <c r="H4" i="3"/>
  <c r="I4" i="3" s="1"/>
  <c r="AB5" i="4"/>
  <c r="AB6" i="4"/>
  <c r="AC6" i="4" s="1"/>
  <c r="AB7" i="4"/>
  <c r="AC7" i="4" s="1"/>
  <c r="AB8" i="4"/>
  <c r="AB9" i="4"/>
  <c r="AB10" i="4"/>
  <c r="AB11" i="4"/>
  <c r="AB12" i="4"/>
  <c r="AB13" i="4"/>
  <c r="AB14" i="4"/>
  <c r="AB15" i="4"/>
  <c r="AB16" i="4"/>
  <c r="AC16" i="4" s="1"/>
  <c r="AB17" i="4"/>
  <c r="AB18" i="4"/>
  <c r="AB19" i="4"/>
  <c r="AC19" i="4" s="1"/>
  <c r="AB20" i="4"/>
  <c r="AB4" i="4"/>
  <c r="AB3" i="4"/>
  <c r="Y6" i="4"/>
  <c r="Y7" i="4"/>
  <c r="Y16" i="4"/>
  <c r="Y19" i="4"/>
  <c r="T8" i="4"/>
  <c r="T9" i="4"/>
  <c r="U9" i="4" s="1"/>
  <c r="T10" i="4"/>
  <c r="U10" i="4" s="1"/>
  <c r="T11" i="4"/>
  <c r="T12" i="4"/>
  <c r="T13" i="4"/>
  <c r="T14" i="4"/>
  <c r="T15" i="4"/>
  <c r="T16" i="4"/>
  <c r="U16" i="4" s="1"/>
  <c r="T17" i="4"/>
  <c r="T18" i="4"/>
  <c r="U19" i="4"/>
  <c r="T20" i="4"/>
  <c r="T7" i="4"/>
  <c r="U7" i="4" s="1"/>
  <c r="T6" i="4"/>
  <c r="U6" i="4" s="1"/>
  <c r="T4" i="4"/>
  <c r="T3" i="4"/>
  <c r="P17" i="4"/>
  <c r="P18" i="4"/>
  <c r="P19" i="4"/>
  <c r="Q19" i="4" s="1"/>
  <c r="P20" i="4"/>
  <c r="Q16" i="4"/>
  <c r="P16" i="4"/>
  <c r="P5" i="4"/>
  <c r="P6" i="4"/>
  <c r="Q6" i="4" s="1"/>
  <c r="P7" i="4"/>
  <c r="Q7" i="4" s="1"/>
  <c r="P8" i="4"/>
  <c r="P9" i="4"/>
  <c r="Q9" i="4" s="1"/>
  <c r="P10" i="4"/>
  <c r="P11" i="4"/>
  <c r="P12" i="4"/>
  <c r="P13" i="4"/>
  <c r="P14" i="4"/>
  <c r="P4" i="4"/>
  <c r="L42" i="3" l="1"/>
  <c r="M42" i="3" s="1"/>
  <c r="O39" i="3"/>
  <c r="P39" i="3" s="1"/>
  <c r="L38" i="3"/>
  <c r="M38" i="3" s="1"/>
  <c r="O35" i="3"/>
  <c r="L34" i="3"/>
  <c r="M34" i="3" s="1"/>
  <c r="O43" i="3"/>
  <c r="P43" i="3" s="1"/>
  <c r="Y21" i="4"/>
  <c r="Y22" i="4" s="1"/>
  <c r="Y23" i="4" s="1"/>
  <c r="H79" i="1"/>
  <c r="H82" i="1"/>
  <c r="I44" i="3"/>
  <c r="P42" i="3"/>
  <c r="Q42" i="3" s="1"/>
  <c r="P38" i="3"/>
  <c r="Q38" i="3" s="1"/>
  <c r="P34" i="3"/>
  <c r="Q34" i="3" s="1"/>
  <c r="J5" i="5"/>
  <c r="Q21" i="4"/>
  <c r="U21" i="4"/>
  <c r="P31" i="3"/>
  <c r="Q31" i="3" s="1"/>
  <c r="P32" i="3"/>
  <c r="Q32" i="3" s="1"/>
  <c r="P40" i="3"/>
  <c r="Q40" i="3" s="1"/>
  <c r="P36" i="3"/>
  <c r="Q36" i="3" s="1"/>
  <c r="M3" i="5"/>
  <c r="P35" i="3"/>
  <c r="Q35" i="3" s="1"/>
  <c r="L32" i="3"/>
  <c r="M32" i="3" s="1"/>
  <c r="L41" i="3"/>
  <c r="M41" i="3" s="1"/>
  <c r="L37" i="3"/>
  <c r="M37" i="3" s="1"/>
  <c r="L33" i="3"/>
  <c r="M33" i="3" s="1"/>
  <c r="M35" i="3"/>
  <c r="M39" i="3"/>
  <c r="M43" i="3"/>
  <c r="Q43" i="3"/>
  <c r="Q39" i="3"/>
  <c r="AC21" i="4"/>
  <c r="AC22" i="4" s="1"/>
  <c r="AC23" i="4" s="1"/>
  <c r="L31" i="3"/>
  <c r="M31" i="3" s="1"/>
  <c r="L40" i="3"/>
  <c r="L36" i="3"/>
  <c r="M36" i="3"/>
  <c r="M40" i="3"/>
  <c r="O41" i="3"/>
  <c r="O37" i="3"/>
  <c r="O33" i="3"/>
  <c r="L3" i="5"/>
  <c r="L4" i="3"/>
  <c r="M4" i="3" s="1"/>
  <c r="P3" i="4"/>
  <c r="L20" i="4"/>
  <c r="L19" i="4"/>
  <c r="M19" i="4" s="1"/>
  <c r="L18" i="4"/>
  <c r="L17" i="4"/>
  <c r="L16" i="4"/>
  <c r="M16" i="4" s="1"/>
  <c r="L15" i="4"/>
  <c r="L7" i="4"/>
  <c r="M7" i="4" s="1"/>
  <c r="L8" i="4"/>
  <c r="L9" i="4"/>
  <c r="M9" i="4" s="1"/>
  <c r="L10" i="4"/>
  <c r="M10" i="4" s="1"/>
  <c r="L11" i="4"/>
  <c r="L12" i="4"/>
  <c r="L13" i="4"/>
  <c r="L14" i="4"/>
  <c r="L6" i="4"/>
  <c r="M6" i="4" s="1"/>
  <c r="L4" i="4"/>
  <c r="L3" i="4"/>
  <c r="E5" i="4"/>
  <c r="H20" i="4"/>
  <c r="H19" i="4"/>
  <c r="I19" i="4" s="1"/>
  <c r="H18" i="4"/>
  <c r="H17" i="4"/>
  <c r="H16" i="4"/>
  <c r="I16" i="4" s="1"/>
  <c r="H15" i="4"/>
  <c r="H14" i="4"/>
  <c r="H13" i="4"/>
  <c r="H12" i="4"/>
  <c r="H11" i="4"/>
  <c r="H10" i="4"/>
  <c r="I10" i="4" s="1"/>
  <c r="H9" i="4"/>
  <c r="I9" i="4" s="1"/>
  <c r="H8" i="4"/>
  <c r="D9" i="4"/>
  <c r="E9" i="4" s="1"/>
  <c r="D10" i="4"/>
  <c r="E10" i="4" s="1"/>
  <c r="D11" i="4"/>
  <c r="E11" i="4" s="1"/>
  <c r="D12" i="4"/>
  <c r="E12" i="4" s="1"/>
  <c r="D13" i="4"/>
  <c r="E13" i="4" s="1"/>
  <c r="D14" i="4"/>
  <c r="E14" i="4" s="1"/>
  <c r="D15" i="4"/>
  <c r="E15" i="4" s="1"/>
  <c r="D16" i="4"/>
  <c r="E16" i="4" s="1"/>
  <c r="D17" i="4"/>
  <c r="E17" i="4" s="1"/>
  <c r="D18" i="4"/>
  <c r="E18" i="4" s="1"/>
  <c r="D19" i="4"/>
  <c r="E19" i="4" s="1"/>
  <c r="D20" i="4"/>
  <c r="E20" i="4" s="1"/>
  <c r="D8" i="4"/>
  <c r="E8" i="4" s="1"/>
  <c r="H7" i="4"/>
  <c r="I7" i="4" s="1"/>
  <c r="D7" i="4"/>
  <c r="E7" i="4" s="1"/>
  <c r="H6" i="4"/>
  <c r="I6" i="4" s="1"/>
  <c r="D6" i="4"/>
  <c r="E6" i="4" s="1"/>
  <c r="H4" i="4"/>
  <c r="D4" i="4"/>
  <c r="E4" i="4" s="1"/>
  <c r="H3" i="4"/>
  <c r="D3" i="4"/>
  <c r="E3" i="4" s="1"/>
  <c r="C3" i="2"/>
  <c r="H17" i="1"/>
  <c r="E76" i="1"/>
  <c r="F76" i="1" s="1"/>
  <c r="E71" i="1"/>
  <c r="F71" i="1" s="1"/>
  <c r="E70" i="1"/>
  <c r="F70" i="1" s="1"/>
  <c r="E69" i="1"/>
  <c r="F69" i="1" s="1"/>
  <c r="E68" i="1"/>
  <c r="E74" i="1" s="1"/>
  <c r="F74" i="1" s="1"/>
  <c r="E63" i="1"/>
  <c r="F63" i="1" s="1"/>
  <c r="E58" i="1"/>
  <c r="F58" i="1" s="1"/>
  <c r="E57" i="1"/>
  <c r="E56" i="1"/>
  <c r="F56" i="1" s="1"/>
  <c r="E55" i="1"/>
  <c r="F55" i="1" s="1"/>
  <c r="G45" i="1"/>
  <c r="E51" i="1"/>
  <c r="F51" i="1" s="1"/>
  <c r="E46" i="1"/>
  <c r="F46" i="1" s="1"/>
  <c r="E45" i="1"/>
  <c r="F45" i="1" s="1"/>
  <c r="E44" i="1"/>
  <c r="F44" i="1" s="1"/>
  <c r="E43" i="1"/>
  <c r="E38" i="1"/>
  <c r="F38" i="1" s="1"/>
  <c r="E33" i="1"/>
  <c r="F33" i="1" s="1"/>
  <c r="E32" i="1"/>
  <c r="F32" i="1" s="1"/>
  <c r="E31" i="1"/>
  <c r="F31" i="1" s="1"/>
  <c r="E25" i="1"/>
  <c r="E23" i="1"/>
  <c r="E22" i="1"/>
  <c r="E21" i="1"/>
  <c r="E20" i="1"/>
  <c r="E19" i="1"/>
  <c r="E18" i="1"/>
  <c r="E13" i="1"/>
  <c r="F13" i="1" s="1"/>
  <c r="E9" i="1"/>
  <c r="E7" i="1"/>
  <c r="E8" i="1"/>
  <c r="E30" i="1"/>
  <c r="F30" i="1" s="1"/>
  <c r="E6" i="1"/>
  <c r="F6" i="1" s="1"/>
  <c r="E21" i="4" l="1"/>
  <c r="G63" i="1"/>
  <c r="H38" i="1"/>
  <c r="E22" i="4"/>
  <c r="E23" i="4" s="1"/>
  <c r="I21" i="4"/>
  <c r="M44" i="3"/>
  <c r="M21" i="4"/>
  <c r="E35" i="1"/>
  <c r="F35" i="1" s="1"/>
  <c r="F8" i="1"/>
  <c r="G8" i="1" s="1"/>
  <c r="F22" i="1"/>
  <c r="G22" i="1" s="1"/>
  <c r="H22" i="1" s="1"/>
  <c r="E59" i="1"/>
  <c r="F59" i="1" s="1"/>
  <c r="H85" i="1"/>
  <c r="F7" i="1"/>
  <c r="G7" i="1" s="1"/>
  <c r="H7" i="1" s="1"/>
  <c r="F23" i="1"/>
  <c r="P41" i="3"/>
  <c r="Q41" i="3" s="1"/>
  <c r="U22" i="4"/>
  <c r="U23" i="4" s="1"/>
  <c r="Y24" i="4"/>
  <c r="F9" i="1"/>
  <c r="G9" i="1" s="1"/>
  <c r="F20" i="1"/>
  <c r="G20" i="1" s="1"/>
  <c r="H20" i="1" s="1"/>
  <c r="F25" i="1"/>
  <c r="G25" i="1" s="1"/>
  <c r="E49" i="1"/>
  <c r="F49" i="1" s="1"/>
  <c r="F43" i="1"/>
  <c r="G43" i="1" s="1"/>
  <c r="H43" i="1" s="1"/>
  <c r="F57" i="1"/>
  <c r="G57" i="1" s="1"/>
  <c r="H57" i="1" s="1"/>
  <c r="G58" i="1"/>
  <c r="AC24" i="4"/>
  <c r="Q22" i="4"/>
  <c r="Q23" i="4" s="1"/>
  <c r="P33" i="3"/>
  <c r="Q33" i="3" s="1"/>
  <c r="F21" i="1"/>
  <c r="G21" i="1" s="1"/>
  <c r="H21" i="1" s="1"/>
  <c r="F18" i="1"/>
  <c r="G18" i="1" s="1"/>
  <c r="H18" i="1" s="1"/>
  <c r="P37" i="3"/>
  <c r="Q37" i="3" s="1"/>
  <c r="E73" i="1"/>
  <c r="F73" i="1" s="1"/>
  <c r="F68" i="1"/>
  <c r="G68" i="1" s="1"/>
  <c r="F19" i="1"/>
  <c r="G55" i="1"/>
  <c r="E47" i="1"/>
  <c r="F47" i="1" s="1"/>
  <c r="H45" i="1"/>
  <c r="H63" i="1"/>
  <c r="G74" i="1"/>
  <c r="H74" i="1" s="1"/>
  <c r="G56" i="1"/>
  <c r="H56" i="1" s="1"/>
  <c r="G71" i="1"/>
  <c r="H71" i="1" s="1"/>
  <c r="G76" i="1"/>
  <c r="H76" i="1" s="1"/>
  <c r="E10" i="1"/>
  <c r="G44" i="1"/>
  <c r="H44" i="1" s="1"/>
  <c r="E60" i="1"/>
  <c r="F60" i="1" s="1"/>
  <c r="H31" i="1"/>
  <c r="E36" i="1"/>
  <c r="E48" i="1"/>
  <c r="F48" i="1" s="1"/>
  <c r="E11" i="1"/>
  <c r="F11" i="1" s="1"/>
  <c r="E61" i="1"/>
  <c r="F61" i="1" s="1"/>
  <c r="E72" i="1"/>
  <c r="F72" i="1" s="1"/>
  <c r="G70" i="1"/>
  <c r="G13" i="1"/>
  <c r="E12" i="1"/>
  <c r="F12" i="1" s="1"/>
  <c r="H30" i="1"/>
  <c r="E34" i="1"/>
  <c r="F34" i="1" s="1"/>
  <c r="G46" i="1"/>
  <c r="G51" i="1"/>
  <c r="H51" i="1" s="1"/>
  <c r="G69" i="1"/>
  <c r="G6" i="1"/>
  <c r="H6" i="1" s="1"/>
  <c r="H32" i="1"/>
  <c r="H33" i="1"/>
  <c r="H58" i="1"/>
  <c r="Q24" i="4" l="1"/>
  <c r="E24" i="4"/>
  <c r="G49" i="1"/>
  <c r="H49" i="1" s="1"/>
  <c r="Q44" i="3"/>
  <c r="K46" i="3" s="1"/>
  <c r="F10" i="1"/>
  <c r="G10" i="1" s="1"/>
  <c r="G19" i="1"/>
  <c r="H19" i="1" s="1"/>
  <c r="U24" i="4"/>
  <c r="G23" i="1"/>
  <c r="H23" i="1" s="1"/>
  <c r="M22" i="4"/>
  <c r="M23" i="4" s="1"/>
  <c r="H35" i="1"/>
  <c r="I22" i="4"/>
  <c r="I23" i="4" s="1"/>
  <c r="F36" i="1"/>
  <c r="H36" i="1" s="1"/>
  <c r="H25" i="1"/>
  <c r="G73" i="1"/>
  <c r="H73" i="1" s="1"/>
  <c r="G47" i="1"/>
  <c r="H69" i="1"/>
  <c r="H34" i="1"/>
  <c r="H70" i="1"/>
  <c r="H46" i="1"/>
  <c r="H8" i="1"/>
  <c r="H9" i="1"/>
  <c r="H68" i="1"/>
  <c r="G48" i="1"/>
  <c r="H48" i="1" s="1"/>
  <c r="H55" i="1"/>
  <c r="H13" i="1"/>
  <c r="G12" i="1"/>
  <c r="H12" i="1" s="1"/>
  <c r="G60" i="1"/>
  <c r="H60" i="1" s="1"/>
  <c r="G59" i="1"/>
  <c r="H59" i="1" s="1"/>
  <c r="G61" i="1"/>
  <c r="H61" i="1" s="1"/>
  <c r="I24" i="4" l="1"/>
  <c r="M24" i="4"/>
  <c r="H40" i="1"/>
  <c r="H27" i="1"/>
  <c r="H10" i="1"/>
  <c r="H65" i="1"/>
  <c r="H47" i="1"/>
  <c r="H52" i="1" s="1"/>
  <c r="G72" i="1"/>
  <c r="H72" i="1" s="1"/>
  <c r="H78" i="1" s="1"/>
  <c r="G11" i="1"/>
  <c r="H11" i="1" s="1"/>
  <c r="H14" i="1" s="1"/>
  <c r="Q26" i="4" l="1"/>
  <c r="H80" i="1"/>
  <c r="H83" i="1"/>
  <c r="H86" i="1" l="1"/>
  <c r="F6" i="6" s="1"/>
  <c r="H6" i="6" s="1"/>
  <c r="F5" i="6"/>
  <c r="H5" i="6" s="1"/>
  <c r="F4" i="6"/>
  <c r="H88" i="1" l="1"/>
  <c r="H4" i="6"/>
  <c r="F9" i="6"/>
  <c r="H9" i="6" s="1"/>
</calcChain>
</file>

<file path=xl/comments1.xml><?xml version="1.0" encoding="utf-8"?>
<comments xmlns="http://schemas.openxmlformats.org/spreadsheetml/2006/main">
  <authors>
    <author>Viviana Deysse Sanchez Sanchez</author>
  </authors>
  <commentList>
    <comment ref="K4" authorId="0">
      <text>
        <r>
          <rPr>
            <b/>
            <sz val="9"/>
            <color indexed="81"/>
            <rFont val="Tahoma"/>
            <family val="2"/>
          </rPr>
          <t>Viviana Deysse Sanchez Sanchez:</t>
        </r>
        <r>
          <rPr>
            <sz val="9"/>
            <color indexed="81"/>
            <rFont val="Tahoma"/>
            <family val="2"/>
          </rPr>
          <t xml:space="preserve">
$41 por encima del real.   El proponente lo calculó en $61.200
</t>
        </r>
      </text>
    </comment>
    <comment ref="K5" authorId="0">
      <text>
        <r>
          <rPr>
            <b/>
            <sz val="9"/>
            <color indexed="81"/>
            <rFont val="Tahoma"/>
            <family val="2"/>
          </rPr>
          <t>Viviana Deysse Sanchez Sanchez:</t>
        </r>
        <r>
          <rPr>
            <sz val="9"/>
            <color indexed="81"/>
            <rFont val="Tahoma"/>
            <family val="2"/>
          </rPr>
          <t xml:space="preserve">
Calculado $27 por encima del valor real
</t>
        </r>
      </text>
    </comment>
    <comment ref="K31" authorId="0">
      <text>
        <r>
          <rPr>
            <b/>
            <sz val="9"/>
            <color indexed="81"/>
            <rFont val="Tahoma"/>
            <family val="2"/>
          </rPr>
          <t>Viviana Deysse Sanchez Sanchez:</t>
        </r>
        <r>
          <rPr>
            <sz val="9"/>
            <color indexed="81"/>
            <rFont val="Tahoma"/>
            <family val="2"/>
          </rPr>
          <t xml:space="preserve">
Incremento del 3,7287%</t>
        </r>
      </text>
    </comment>
    <comment ref="M31" authorId="0">
      <text>
        <r>
          <rPr>
            <b/>
            <sz val="9"/>
            <color indexed="81"/>
            <rFont val="Tahoma"/>
            <family val="2"/>
          </rPr>
          <t>Viviana Deysse Sanchez Sanchez:</t>
        </r>
        <r>
          <rPr>
            <sz val="9"/>
            <color indexed="81"/>
            <rFont val="Tahoma"/>
            <family val="2"/>
          </rPr>
          <t xml:space="preserve">
Esta columna tiene todos los valores con diferencias en pesos
</t>
        </r>
      </text>
    </comment>
    <comment ref="O31" authorId="0">
      <text>
        <r>
          <rPr>
            <b/>
            <sz val="9"/>
            <color indexed="81"/>
            <rFont val="Tahoma"/>
            <family val="2"/>
          </rPr>
          <t>Viviana Deysse Sanchez Sanchez:</t>
        </r>
        <r>
          <rPr>
            <sz val="9"/>
            <color indexed="81"/>
            <rFont val="Tahoma"/>
            <family val="2"/>
          </rPr>
          <t xml:space="preserve">
El incremento en esta columna es del 3,5947%</t>
        </r>
      </text>
    </comment>
    <comment ref="I44" authorId="0">
      <text>
        <r>
          <rPr>
            <b/>
            <sz val="9"/>
            <color indexed="81"/>
            <rFont val="Tahoma"/>
            <family val="2"/>
          </rPr>
          <t>Viviana Deysse Sanchez Sanchez:</t>
        </r>
        <r>
          <rPr>
            <sz val="9"/>
            <color indexed="81"/>
            <rFont val="Tahoma"/>
            <family val="2"/>
          </rPr>
          <t xml:space="preserve">
El proponente cotizó $4 por debajo y estos son los precios de él mismo.</t>
        </r>
      </text>
    </comment>
  </commentList>
</comments>
</file>

<file path=xl/sharedStrings.xml><?xml version="1.0" encoding="utf-8"?>
<sst xmlns="http://schemas.openxmlformats.org/spreadsheetml/2006/main" count="482" uniqueCount="255">
  <si>
    <t>RECURSO HUMANO</t>
  </si>
  <si>
    <t>Supervisor</t>
  </si>
  <si>
    <t>Descripción</t>
  </si>
  <si>
    <t>Subtotal</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</si>
  <si>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</si>
  <si>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</si>
  <si>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</si>
  <si>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</si>
  <si>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</si>
  <si>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</si>
  <si>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</si>
  <si>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</si>
  <si>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</si>
  <si>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</si>
  <si>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</si>
  <si>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</si>
  <si>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</si>
  <si>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</si>
  <si>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</si>
  <si>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r>
      <t xml:space="preserve">Operaria Aseo medio Tiempo Punto de Atención San Andrés 
</t>
    </r>
    <r>
      <rPr>
        <sz val="10"/>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</si>
  <si>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</si>
  <si>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</si>
  <si>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</si>
  <si>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</si>
  <si>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</si>
  <si>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Descripción General</t>
  </si>
  <si>
    <t>Vlr Bruto Mensual</t>
  </si>
  <si>
    <t xml:space="preserve">VALOR 01 MAYO AL 31 DE DICIEMBRE DE 2015 </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</si>
  <si>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</si>
  <si>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</si>
  <si>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</si>
  <si>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</si>
  <si>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</si>
  <si>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</si>
  <si>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</si>
  <si>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</si>
  <si>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</si>
  <si>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</si>
  <si>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</si>
  <si>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</si>
  <si>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</si>
  <si>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</si>
  <si>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</si>
  <si>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</si>
  <si>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</si>
  <si>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</si>
  <si>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</si>
  <si>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</si>
  <si>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</si>
  <si>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</si>
  <si>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</si>
  <si>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</si>
  <si>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</si>
  <si>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</si>
  <si>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</si>
  <si>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</si>
  <si>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</si>
  <si>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</si>
  <si>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</si>
  <si>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</si>
  <si>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</si>
  <si>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</si>
  <si>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</si>
  <si>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</si>
  <si>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</si>
  <si>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</si>
  <si>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</si>
  <si>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</si>
  <si>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</si>
  <si>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</si>
  <si>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</si>
  <si>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</si>
  <si>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</si>
  <si>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</si>
  <si>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</si>
  <si>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</si>
  <si>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</si>
  <si>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</si>
  <si>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</si>
  <si>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</si>
  <si>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</si>
  <si>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</si>
  <si>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</si>
  <si>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</si>
  <si>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</si>
  <si>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</si>
  <si>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</si>
  <si>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</si>
  <si>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</si>
  <si>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</si>
  <si>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</si>
  <si>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</si>
  <si>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</si>
  <si>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</si>
  <si>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</si>
  <si>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</si>
  <si>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</si>
  <si>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</si>
  <si>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</si>
  <si>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</si>
  <si>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</si>
  <si>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</si>
  <si>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</si>
  <si>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</si>
  <si>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</si>
  <si>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</si>
  <si>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</si>
  <si>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</si>
  <si>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</si>
  <si>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</si>
  <si>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</si>
  <si>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</si>
  <si>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</si>
  <si>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</si>
  <si>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</si>
  <si>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</si>
  <si>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</si>
  <si>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</si>
  <si>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</si>
  <si>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</si>
  <si>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</si>
  <si>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</si>
  <si>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</si>
  <si>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</si>
  <si>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</si>
  <si>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</si>
  <si>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</si>
  <si>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</si>
  <si>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</si>
  <si>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</si>
  <si>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</si>
  <si>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</si>
  <si>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</si>
  <si>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</si>
  <si>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</si>
  <si>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</si>
  <si>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</si>
  <si>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</si>
  <si>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</si>
  <si>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</si>
  <si>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</si>
  <si>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</si>
  <si>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</si>
  <si>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</si>
  <si>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</si>
  <si>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</si>
  <si>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</si>
  <si>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</si>
  <si>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</si>
  <si>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</si>
  <si>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</si>
  <si>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</si>
  <si>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</si>
  <si>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</si>
  <si>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</si>
  <si>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</si>
  <si>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</si>
  <si>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</si>
  <si>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</si>
  <si>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</si>
  <si>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</si>
  <si>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</si>
  <si>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</si>
  <si>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</si>
  <si>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</si>
  <si>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</si>
  <si>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</si>
  <si>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</si>
  <si>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</si>
  <si>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</si>
  <si>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</si>
  <si>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</si>
  <si>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</si>
  <si>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</si>
  <si>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</si>
  <si>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</si>
  <si>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</si>
  <si>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</si>
  <si>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</si>
  <si>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</si>
  <si>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</si>
  <si>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</si>
  <si>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</si>
  <si>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</si>
  <si>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</si>
  <si>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</si>
  <si>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</si>
  <si>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</si>
  <si>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</si>
  <si>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</si>
  <si>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</si>
  <si>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</si>
  <si>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</si>
  <si>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</si>
  <si>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</si>
  <si>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</si>
  <si>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</si>
  <si>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01 DE ENERO AL 31 DE DICIEMBRE DE 2016 (Incremento del 3,66%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</si>
  <si>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</si>
  <si>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</si>
  <si>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</si>
  <si>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AIU 
10 %</t>
  </si>
  <si>
    <t>A. Básico</t>
  </si>
  <si>
    <t>B. Subsidio Transporte</t>
  </si>
  <si>
    <t>C. Pensión</t>
  </si>
  <si>
    <t>D. ARL</t>
  </si>
  <si>
    <t>E. Cajas de Compensación</t>
  </si>
  <si>
    <t>F. Cesantías</t>
  </si>
  <si>
    <t>G. Intereses</t>
  </si>
  <si>
    <t>H. Prima de servicios</t>
  </si>
  <si>
    <t>I. Vacaciones</t>
  </si>
  <si>
    <t>OBSERVACIONES</t>
  </si>
  <si>
    <t>$48 por debajo de la suma real presentada en la oferta</t>
  </si>
  <si>
    <t>$1 por debajo de la suma real presentada en la oferta</t>
  </si>
  <si>
    <t>$1 peso por debajo de la suma real presentada en la oferta</t>
  </si>
  <si>
    <t>OK</t>
  </si>
  <si>
    <t>En la propuesta del proponente -$1</t>
  </si>
  <si>
    <t>Leticia con IVA</t>
  </si>
  <si>
    <t>Un peso ($1) de más en la propuesta del proponente.</t>
  </si>
  <si>
    <t>Un peso ($1) de menos en la propuesta del proponente.</t>
  </si>
  <si>
    <t>El valor de incremento de periodo a periodo es totalmente disparejo, en unos aumentan el  3,6593%, en otros 3,7287% y en otros del 3,5947% y no del 3,66%</t>
  </si>
  <si>
    <t>El proponente coloca en la oferta la suma de $31.524.642 y el valor al sumar los precios que él mismo coloca es de $31.534.775.    Diferencia de $10.133 por debajo del real.</t>
  </si>
  <si>
    <t>VALOR 01 MAYO AL 31 DE DICIEMBRE DE 2015 por concepto de dotación (incremento del 3,66%)</t>
  </si>
  <si>
    <t>VALOR 01 MAYO AL 31 DE DICIEMBRE DE 2015 por concepto de salario básico, pensión, ARL, cajas de compensación, cesantías, intereses, prima de servicios, vacaciones.</t>
  </si>
  <si>
    <t>Este es el cálculo del DEBER ser, pero el proponente proyectó un AIU del 7%.  Esto significa que toda su propuesta está calculada con dicho porcentaje y por tanto la diferencia es del 3% con relación al deber ser.</t>
  </si>
  <si>
    <t>VALOR 01 DE ENERO DE 2017 AL 01 DE MAYO DE 2017 (Incremento del 3,66% para la dotación)</t>
  </si>
  <si>
    <r>
      <rPr>
        <b/>
        <sz val="10"/>
        <color theme="1"/>
        <rFont val="Arial Narrow"/>
        <family val="2"/>
      </rPr>
      <t xml:space="preserve">NOTA 1 DEL EVALUADOR: </t>
    </r>
    <r>
      <rPr>
        <sz val="10"/>
        <color theme="1"/>
        <rFont val="Arial Narrow"/>
        <family val="2"/>
      </rPr>
      <t>A pesar de que el proponente señaló en su oferta que cobraría el 10% de AIU, al realizar las validaciones se encontró que el valor ofertado del AIU fue del siete por ciento (7%).  Como consecuencia, y de acuerdo con el Numeral 5.10 Literal f) que reza: "Cuando la propuesta económica que presente el proponente no cumpla con las disposiciones que sobre la materia tiene establecido el artículo 46° de la Ley 1607 de 2012, por la cual se expiden normas en materia tributaria y se dictan otras disposiciones, y demás normas que lo modifiquen, adicionen o sustituyan.“, se rechaza la propuesta económica.</t>
    </r>
  </si>
  <si>
    <r>
      <rPr>
        <b/>
        <sz val="10"/>
        <color theme="1"/>
        <rFont val="Arial Narrow"/>
        <family val="2"/>
      </rPr>
      <t xml:space="preserve">NOTA 3 DEL EVALUADOR: </t>
    </r>
    <r>
      <rPr>
        <sz val="10"/>
        <color theme="1"/>
        <rFont val="Arial Narrow"/>
        <family val="2"/>
      </rPr>
      <t xml:space="preserve">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sin conocer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aseo a través de una operario de medio tiempo. </t>
    </r>
  </si>
  <si>
    <r>
      <t xml:space="preserve">El valor presentado por el proponente para el período Enero 1 a Mayo 1 de 2017 es de $627.105 y el valor real es de $621.303.  </t>
    </r>
    <r>
      <rPr>
        <b/>
        <sz val="10"/>
        <rFont val="Arial Narrow"/>
        <family val="2"/>
      </rPr>
      <t>Existe un error de $5.802,00.</t>
    </r>
  </si>
  <si>
    <r>
      <t xml:space="preserve">Según las correcciones expuestas, el valor total presentado por el proponente es de $487.588.952, pero al sumar es de $487.588.953.  Tiene un error de $1.         </t>
    </r>
    <r>
      <rPr>
        <b/>
        <sz val="10"/>
        <rFont val="Calibri"/>
        <family val="2"/>
        <scheme val="minor"/>
      </rPr>
      <t>Al sumar los valores reales sin errores la sumatoria correcta de las vigencias desde el 1 de mayo de 2015 hasta el 1 de mayo de 2017 es de $487.490.978.</t>
    </r>
  </si>
  <si>
    <r>
      <rPr>
        <b/>
        <sz val="10"/>
        <color theme="1"/>
        <rFont val="Arial Narrow"/>
        <family val="2"/>
      </rPr>
      <t xml:space="preserve">NOTA 1 DEL EVALUADOR: </t>
    </r>
    <r>
      <rPr>
        <sz val="10"/>
        <color theme="1"/>
        <rFont val="Arial Narrow"/>
        <family val="2"/>
      </rPr>
      <t xml:space="preserve">El proponente dentro del Anexo No. 17 tuvo en cuenta las disposiciones relacionadas con la exclusión del IVA en el municipio de San Andrés Islas. De acuerdo con la oferta económica en lo relativo al suministro de insumos de aseo y cafetería en el municipio de Leticia, el proponente aplica IVA, lo cual se acepta bajo el entendido de que el proponente realizaría la compra de dichos insumos en lugar diferente al Departamento del Amazonas.  </t>
    </r>
  </si>
  <si>
    <r>
      <rPr>
        <b/>
        <sz val="10"/>
        <color theme="1"/>
        <rFont val="Arial Narrow"/>
        <family val="2"/>
      </rPr>
      <t>NOTA 2 DEL EVALUADOR:</t>
    </r>
    <r>
      <rPr>
        <sz val="10"/>
        <color theme="1"/>
        <rFont val="Arial Narrow"/>
        <family val="2"/>
      </rPr>
      <t xml:space="preserve"> Una vez verificada una muestra de la oferta económica, se evidenció que el proponente para los cálculos de los precios unitarios de los insumos de aseo y cafetería entre las vigencias realizó el incremento del 3,66% autorizado por la Entidad en el literal d) del subnumeral (vii) del numeral 5.9.4.1 Propuesta Económica de la adenda No. 03.  </t>
    </r>
  </si>
  <si>
    <r>
      <t xml:space="preserve">i.  El valor presentado por el proponente en el periodo Enero 1 al 31 de diciembre de 2016 es de $71.832.966 y el valor real es de $71.823.226.  </t>
    </r>
    <r>
      <rPr>
        <b/>
        <sz val="10"/>
        <rFont val="Arial Narrow"/>
        <family val="2"/>
      </rPr>
      <t xml:space="preserve">Existe un error de $9.740,00.                              
 </t>
    </r>
    <r>
      <rPr>
        <sz val="10"/>
        <rFont val="Arial Narrow"/>
        <family val="2"/>
      </rPr>
      <t xml:space="preserve">ii.  El valor presentado por el proponente en el periodo Enero 1 a Mayo 1 de 2017 es de $24.899.752 y el valor real es de $24.817.319. </t>
    </r>
    <r>
      <rPr>
        <b/>
        <sz val="10"/>
        <rFont val="Arial Narrow"/>
        <family val="2"/>
      </rPr>
      <t xml:space="preserve"> Existe un error de $82.433,46</t>
    </r>
  </si>
  <si>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</si>
  <si>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r>
      <rPr>
        <b/>
        <sz val="10"/>
        <color theme="1"/>
        <rFont val="Arial Narrow"/>
        <family val="2"/>
      </rPr>
      <t>NOTA 3 DEL EVALUADOR:</t>
    </r>
    <r>
      <rPr>
        <sz val="10"/>
        <color theme="1"/>
        <rFont val="Arial Narrow"/>
        <family val="2"/>
      </rPr>
      <t xml:space="preserve"> Se deja constancia que la Entidad al momento de validar la propuesta empleó para la formulación de las celdas dos decimales. </t>
    </r>
  </si>
  <si>
    <r>
      <t xml:space="preserve">NOTA 4 DEL EVALUADOR: </t>
    </r>
    <r>
      <rPr>
        <sz val="10"/>
        <color theme="1"/>
        <rFont val="Arial Narrow"/>
        <family val="2"/>
      </rPr>
      <t xml:space="preserve">Se deja constancia que la Entidad al momento de validar la propuesta empleó para la formulación de las celdas dos decimales. </t>
    </r>
  </si>
  <si>
    <r>
      <rPr>
        <b/>
        <sz val="9"/>
        <rFont val="Arial Narrow"/>
        <family val="2"/>
      </rPr>
      <t>NOTA 1 DEL EVALUADOR:</t>
    </r>
    <r>
      <rPr>
        <sz val="9"/>
        <rFont val="Arial Narrow"/>
        <family val="2"/>
      </rPr>
      <t xml:space="preserve"> Una vez verificada una muestra de la oferta económica, se evidenció que el proponente para los cálculos de los precios unitarios de los equipos y elementos minimos entre las vigencias realizó el incremento del 3,66% autorizado por la Entidad mediante  la adenda No. 03.  </t>
    </r>
  </si>
  <si>
    <r>
      <rPr>
        <b/>
        <sz val="9"/>
        <rFont val="Arial Narrow"/>
        <family val="2"/>
      </rPr>
      <t>NOTA 2 DEL EVALUADOR:</t>
    </r>
    <r>
      <rPr>
        <sz val="9"/>
        <rFont val="Arial Narrow"/>
        <family val="2"/>
      </rPr>
      <t xml:space="preserve"> Se deja constancia que el proponente en su propuesta oferta un valor total de $19.680.745 y el valor real es de $19.680.770.                                                           </t>
    </r>
  </si>
  <si>
    <t>ARCHIPIÉLAGO DE SAN ANDRÉS ISLAS Y LETICIA</t>
  </si>
  <si>
    <t>OTRAS CIUDADES (Arauca, Cartagena, Tunja, Manizales, Popayán, Valledupar, Quibdó, Montería, Neiva, Santa Marta, Villavicencio, Pasto, Cúcuta, Armenia, Pereira, San Gil, Sincelejo, Ibague, Riohacha, Yopal, Barrancabermeja, Mocoa)</t>
  </si>
  <si>
    <t>Observaciones</t>
  </si>
  <si>
    <r>
      <rPr>
        <b/>
        <sz val="11"/>
        <color theme="1"/>
        <rFont val="Calibri"/>
        <family val="2"/>
        <scheme val="minor"/>
      </rPr>
      <t>NOTA 2 DEL EVALUADOR:</t>
    </r>
    <r>
      <rPr>
        <sz val="11"/>
        <color theme="1"/>
        <rFont val="Calibri"/>
        <family val="2"/>
        <scheme val="minor"/>
      </rPr>
      <t xml:space="preserve"> Se deja constancia que la Entidad al momento de validar la propuesta empleó para la formulación de las celdas dos decimales. </t>
    </r>
  </si>
  <si>
    <t>VALOR PROPUESTA ECONÓMICA (Valor Liquidado por el ICETEX)</t>
  </si>
  <si>
    <t>VALOR OFERTADO PROPONENTE</t>
  </si>
  <si>
    <t>DIFERENCIAS ENTRE ICETEX - PROPONENTE</t>
  </si>
  <si>
    <r>
      <rPr>
        <b/>
        <sz val="10"/>
        <color theme="1"/>
        <rFont val="Arial Narrow"/>
        <family val="2"/>
      </rPr>
      <t>NOTA 2 DEL EVALUADOR:</t>
    </r>
    <r>
      <rPr>
        <sz val="10"/>
        <color theme="1"/>
        <rFont val="Arial Narrow"/>
        <family val="2"/>
      </rPr>
      <t xml:space="preserve"> De conformidad con el pliego de condiciones y sus adendas, se deja constancia que lo contenido en esta evaluación es el deber ser de la oferta económica, tomando como base el salario básico ofertado por el proponente. A partir de este ejercicio, el ICETEX procedió a comparar la oferta económica del proponente en lo pertinente al recurso humano propuesto. El proponente no oferta dentro del recurso humano a prestar el servicio en el municipio de Leticia el IVA. 
Dada la existencia de la Ley 222 de 1995,  y para efectos de liquidar el servicio de recurso humano para el punto de atención ubicado en el municipio de Leticia, el ICETEX incluyó una (1) operaria de más en el campo de "Operaria Aseo medio Tiempo Punto de Atención San Andrés ", y disminuyó a 22 operarias en el campo denominado "Operaria Aseo medio Tiempo" ; lo anterior con el fin de verificar las diferencias obtenidas entre lo ofertado por el proponente y lo liquidado conforme a la legislación tributaria colombiana.  
</t>
    </r>
  </si>
  <si>
    <r>
      <rPr>
        <b/>
        <sz val="9"/>
        <color theme="1"/>
        <rFont val="Arial Narrow"/>
        <family val="2"/>
      </rPr>
      <t xml:space="preserve">NOTA 3 DEL EVALUADOR: </t>
    </r>
    <r>
      <rPr>
        <sz val="9"/>
        <color theme="1"/>
        <rFont val="Arial Narrow"/>
        <family val="2"/>
      </rPr>
      <t xml:space="preserve">Se deja constancia que la Entidad al momento de validar la propuesta empleó para la formulación de las celdas dos decimales. </t>
    </r>
  </si>
  <si>
    <r>
      <rPr>
        <b/>
        <sz val="9"/>
        <rFont val="Arial Narrow"/>
        <family val="2"/>
      </rPr>
      <t xml:space="preserve">NOTA 2 DEL EVALUADOR: </t>
    </r>
    <r>
      <rPr>
        <sz val="9"/>
        <color theme="1"/>
        <rFont val="Arial Narrow"/>
        <family val="2"/>
      </rPr>
      <t xml:space="preserve">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para el servicio en el punto de atención de Leticia, sin conocer la Entidad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fumigación. </t>
    </r>
  </si>
  <si>
    <r>
      <rPr>
        <b/>
        <sz val="11"/>
        <color theme="1"/>
        <rFont val="Calibri"/>
        <family val="2"/>
        <scheme val="minor"/>
      </rPr>
      <t xml:space="preserve">NOTA 1 DEL EVALUADOR: </t>
    </r>
    <r>
      <rPr>
        <sz val="11"/>
        <color theme="1"/>
        <rFont val="Calibri"/>
        <family val="2"/>
        <scheme val="minor"/>
      </rPr>
      <t>Existe una diferencia de $1.970.645 entre lo ofertado y lo liquidado por el ICETEX, error aritmético que no supera el uno por ciento (1%) del valor total de la propuesta, y por ende no hay lugar a rechazo de la propuesta por la causal en particular establecida en el subnumeral (iii) del numeral 5.9.4.1. que reza: "El Proponente debe indicar en el Anexo – 10 Propuesta Económica, los valores ofrecidos. En caso de presentarse errores aritméticos en la determinación del valor total de la propuesta económica que superen el 1% del valor de la propuesta, ésta será rechazada."</t>
    </r>
  </si>
  <si>
    <r>
      <rPr>
        <b/>
        <sz val="10"/>
        <rFont val="Arial Narrow"/>
        <family val="2"/>
      </rPr>
      <t xml:space="preserve">NOTA 3 DEL EVALUADOR: </t>
    </r>
    <r>
      <rPr>
        <sz val="10"/>
        <color theme="1"/>
        <rFont val="Arial Narrow"/>
        <family val="2"/>
      </rPr>
      <t xml:space="preserve">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para el servicio en el punto de atención de Leticia, sin conocer la Entidad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alquiler de equipos y elementos. </t>
    </r>
  </si>
  <si>
    <r>
      <rPr>
        <b/>
        <sz val="10"/>
        <color theme="1"/>
        <rFont val="Arial Narrow"/>
        <family val="2"/>
      </rPr>
      <t xml:space="preserve">NOTA 4 DEL EVALUADOR: </t>
    </r>
    <r>
      <rPr>
        <sz val="10"/>
        <color theme="1"/>
        <rFont val="Arial Narrow"/>
        <family val="2"/>
      </rPr>
      <t xml:space="preserve">El ICETEX tomando como base los valores ofertados por el proponente para los Equipos y Elementos Mínimos; No obstante, en el campo de "Archipiélago San Andrés Islas" se incluyeron las cantidades de equipos y elementos mínimos del punto de atención de Leticia, para poder liquidar correctamente el servicio de alquiler a prestar en San Andrés y Leticia, sin IVA.  </t>
    </r>
  </si>
  <si>
    <r>
      <rPr>
        <b/>
        <sz val="10"/>
        <color theme="1"/>
        <rFont val="Arial Narrow"/>
        <family val="2"/>
      </rPr>
      <t>NOTA 5 DEL EVALUADOR:</t>
    </r>
    <r>
      <rPr>
        <sz val="10"/>
        <color theme="1"/>
        <rFont val="Arial Narrow"/>
        <family val="2"/>
      </rPr>
      <t xml:space="preserve"> Se deja constancia que la Entidad al momento de validar la propuesta empleó para la formulación de las celdas dos decimales. </t>
    </r>
  </si>
  <si>
    <r>
      <rPr>
        <b/>
        <sz val="10"/>
        <color theme="1"/>
        <rFont val="Arial Narrow"/>
        <family val="2"/>
      </rPr>
      <t>NOTA 3 DEL EVALUADOR:</t>
    </r>
    <r>
      <rPr>
        <sz val="10"/>
        <color theme="1"/>
        <rFont val="Arial Narrow"/>
        <family val="2"/>
      </rPr>
      <t xml:space="preserve"> El ICETEX tomó como base para la verificación de la propuesta contenida en esta evaluación, los valores unitarios ofertados por el proponente. </t>
    </r>
  </si>
  <si>
    <r>
      <rPr>
        <b/>
        <sz val="10"/>
        <color theme="1"/>
        <rFont val="Arial Narrow"/>
        <family val="2"/>
      </rPr>
      <t xml:space="preserve">NOTA 1 DEL EVALUADOR: </t>
    </r>
    <r>
      <rPr>
        <sz val="10"/>
        <color theme="1"/>
        <rFont val="Arial Narrow"/>
        <family val="2"/>
      </rPr>
      <t>El proponente oferta $1 por debajo del valor liquidado por el ICETEX.</t>
    </r>
  </si>
  <si>
    <r>
      <rPr>
        <b/>
        <sz val="10"/>
        <color theme="1"/>
        <rFont val="Arial Narrow"/>
        <family val="2"/>
      </rPr>
      <t xml:space="preserve">NOTA 2 DEL EVALUADOR: </t>
    </r>
    <r>
      <rPr>
        <sz val="10"/>
        <color theme="1"/>
        <rFont val="Arial Narrow"/>
        <family val="2"/>
      </rPr>
      <t xml:space="preserve">Se deja constancia que la Entidad al momento de validar la propuesta empleó para la formulación de las celdas dos decimales.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</si>
</sst>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_(&quot;$&quot;\ * \(#,##0.00\);_(&quot;$&quot;\ * &quot;-&quot;??_);_(@_)"/>
    <numFmt numFmtId="43" formatCode="_(* #,##0.00_);_(* \(#,##0.00\);_(* &quot;-&quot;??_);_(@_)"/>
    <numFmt numFmtId="164" formatCode="_(&quot;$&quot;* #,##0.00_);_(&quot;$&quot;* \(#,##0.00\);_(&quot;$&quot;* &quot;-&quot;??_);_(@_)"/>
    <numFmt numFmtId="165" formatCode="_(&quot;$&quot;* #,##0_);_(&quot;$&quot;* \(#,##0\);_(&quot;$&quot;* &quot;-&quot;??_);_(@_)"/>
    <numFmt numFmtId="166" formatCode="_(&quot;$&quot;\ * #,##0_);_(&quot;$&quot;\ * \(#,##0\);_(&quot;$&quot;\ * &quot;-&quot;??_);_(@_)"/>
    <numFmt numFmtId="167" formatCode="&quot;$&quot;\ #,##0"/>
    <numFmt numFmtId="168" formatCode="_([$$-240A]\ * #,##0_);_([$$-240A]\ * \(#,##0\);_([$$-240A]\ * &quot;-&quot;??_);_(@_)"/>
  </numFmts>
  <fonts count="32"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sz val="11"/>
      <color theme="1"/>
      <name val="Calibri"/>
      <family val="2"/>
      <scheme val="minor"/>
    </font>
    <font>
      <b/>
      <sz val="10"/>
      <color rgb="FFFF0000"/>
      <name val="Arial Narrow"/>
      <family val="2"/>
    </font>
    <font>
      <b/>
      <sz val="9"/>
      <color rgb="FFFF0000"/>
      <name val="Arial Narrow"/>
      <family val="2"/>
    </font>
    <font>
      <b/>
      <sz val="11"/>
      <color rgb="FFFF0000"/>
      <name val="Arial Narrow"/>
      <family val="2"/>
    </font>
    <font>
      <sz val="9"/>
      <color indexed="81"/>
      <name val="Tahoma"/>
      <family val="2"/>
    </font>
    <font>
      <b/>
      <sz val="9"/>
      <color indexed="81"/>
      <name val="Tahoma"/>
      <family val="2"/>
    </font>
    <font>
      <sz val="10"/>
      <color rgb="FFFF0000"/>
      <name val="Arial Narrow"/>
      <family val="2"/>
    </font>
    <font>
      <sz val="10"/>
      <name val="Calibri"/>
      <family val="2"/>
      <scheme val="minor"/>
    </font>
    <font>
      <b/>
      <sz val="10"/>
      <name val="Calibri"/>
      <family val="2"/>
      <scheme val="minor"/>
    </font>
    <font>
      <b/>
      <sz val="9"/>
      <name val="Arial Narrow"/>
      <family val="2"/>
    </font>
    <font>
      <sz val="9"/>
      <name val="Arial Narrow"/>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21" fillId="0" borderId="0" applyFont="0" applyFill="0" applyBorder="0" applyAlignment="0" applyProtection="0"/>
  </cellStyleXfs>
  <cellXfs count="271">
    <xf numFmtId="0" fontId="0" fillId="0" borderId="0" xfId="0"/>
    <xf numFmtId="0" fontId="7" fillId="0" borderId="0" xfId="0" applyFont="1"/>
    <xf numFmtId="0" fontId="7" fillId="0" borderId="13" xfId="0" applyFont="1" applyBorder="1"/>
    <xf numFmtId="0" fontId="4" fillId="0" borderId="13" xfId="0" applyFont="1" applyBorder="1" applyAlignment="1">
      <alignment horizontal="center" vertical="center" wrapText="1"/>
    </xf>
    <xf numFmtId="9" fontId="8" fillId="0" borderId="13" xfId="0" applyNumberFormat="1" applyFont="1" applyBorder="1" applyAlignment="1">
      <alignment horizontal="justify" vertical="center" wrapText="1"/>
    </xf>
    <xf numFmtId="0" fontId="11" fillId="0" borderId="0" xfId="0" applyFont="1" applyAlignment="1">
      <alignment horizontal="justify" vertical="center" wrapText="1"/>
    </xf>
    <xf numFmtId="0" fontId="7" fillId="2" borderId="0" xfId="0" applyFont="1" applyFill="1" applyBorder="1"/>
    <xf numFmtId="0" fontId="7" fillId="2" borderId="13" xfId="0" applyFont="1" applyFill="1" applyBorder="1" applyAlignment="1">
      <alignment horizontal="justify" vertical="center" wrapText="1"/>
    </xf>
    <xf numFmtId="0" fontId="7" fillId="2" borderId="0" xfId="0" applyFont="1" applyFill="1" applyBorder="1" applyAlignment="1">
      <alignment horizontal="justify" vertical="center" wrapText="1"/>
    </xf>
    <xf numFmtId="165" fontId="5" fillId="2" borderId="13" xfId="2" applyNumberFormat="1" applyFont="1" applyFill="1" applyBorder="1" applyAlignment="1">
      <alignment horizontal="center" vertical="center" wrapText="1"/>
    </xf>
    <xf numFmtId="0" fontId="0" fillId="0" borderId="0" xfId="0" applyBorder="1"/>
    <xf numFmtId="0" fontId="15" fillId="4" borderId="13" xfId="0" applyFont="1" applyFill="1" applyBorder="1" applyAlignment="1">
      <alignment horizontal="center" vertical="center" wrapText="1"/>
    </xf>
    <xf numFmtId="0" fontId="0" fillId="0" borderId="13" xfId="0" applyBorder="1"/>
    <xf numFmtId="0" fontId="13" fillId="0" borderId="0" xfId="0" applyFont="1" applyBorder="1"/>
    <xf numFmtId="0" fontId="18"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7" fillId="0" borderId="13" xfId="0" applyFont="1" applyBorder="1" applyAlignment="1">
      <alignment horizontal="center" vertical="center"/>
    </xf>
    <xf numFmtId="0" fontId="17" fillId="0" borderId="13" xfId="0" applyFont="1" applyBorder="1" applyAlignment="1">
      <alignment horizontal="center" vertical="center" wrapText="1"/>
    </xf>
    <xf numFmtId="0" fontId="18" fillId="0" borderId="13" xfId="0" applyFont="1" applyBorder="1" applyAlignment="1">
      <alignment horizontal="justify" vertical="center" wrapText="1"/>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0" xfId="0" applyFont="1" applyBorder="1" applyAlignment="1">
      <alignment horizontal="justify" vertical="top" wrapText="1"/>
    </xf>
    <xf numFmtId="0" fontId="19" fillId="0" borderId="13" xfId="0" applyFont="1" applyBorder="1" applyAlignment="1">
      <alignment horizontal="justify" vertical="center" wrapText="1"/>
    </xf>
    <xf numFmtId="0" fontId="18" fillId="0" borderId="14" xfId="0" applyFont="1" applyBorder="1" applyAlignment="1">
      <alignment horizontal="justify" vertical="center" wrapText="1"/>
    </xf>
    <xf numFmtId="0" fontId="13" fillId="0" borderId="12" xfId="0" applyFont="1" applyBorder="1"/>
    <xf numFmtId="0" fontId="0" fillId="0" borderId="0" xfId="0" applyAlignment="1">
      <alignment vertical="top"/>
    </xf>
    <xf numFmtId="0" fontId="11" fillId="0" borderId="13" xfId="0" applyFont="1" applyBorder="1" applyAlignment="1">
      <alignment horizontal="justify" vertical="top" wrapText="1"/>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0" fontId="12" fillId="0" borderId="13" xfId="0" applyFont="1" applyBorder="1" applyAlignment="1">
      <alignment horizontal="justify" vertical="center" wrapText="1"/>
    </xf>
    <xf numFmtId="0" fontId="12" fillId="0" borderId="13" xfId="0" applyFont="1" applyBorder="1" applyAlignment="1">
      <alignment horizontal="center" vertical="center" wrapText="1"/>
    </xf>
    <xf numFmtId="0" fontId="7" fillId="0" borderId="0" xfId="0" applyFont="1" applyAlignment="1">
      <alignment vertical="top" wrapText="1"/>
    </xf>
    <xf numFmtId="0" fontId="14" fillId="0" borderId="0" xfId="0" applyFont="1" applyAlignment="1">
      <alignment vertical="center" wrapText="1"/>
    </xf>
    <xf numFmtId="0" fontId="20" fillId="0" borderId="13" xfId="0" applyFont="1" applyBorder="1" applyAlignment="1">
      <alignment horizontal="left" vertical="center"/>
    </xf>
    <xf numFmtId="0" fontId="9" fillId="2" borderId="13"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5" xfId="0" applyFont="1" applyFill="1" applyBorder="1" applyAlignment="1">
      <alignment vertical="top"/>
    </xf>
    <xf numFmtId="0" fontId="0" fillId="0" borderId="4" xfId="0" applyBorder="1"/>
    <xf numFmtId="10" fontId="8" fillId="0" borderId="13" xfId="0" applyNumberFormat="1" applyFont="1" applyBorder="1" applyAlignment="1">
      <alignment horizontal="justify" vertical="center" wrapText="1"/>
    </xf>
    <xf numFmtId="44" fontId="7" fillId="0" borderId="13" xfId="0" applyNumberFormat="1" applyFont="1" applyBorder="1"/>
    <xf numFmtId="166" fontId="7" fillId="2" borderId="13" xfId="7" applyNumberFormat="1" applyFont="1" applyFill="1" applyBorder="1" applyAlignment="1">
      <alignment vertical="center" wrapText="1"/>
    </xf>
    <xf numFmtId="166" fontId="18" fillId="0" borderId="13" xfId="7" applyNumberFormat="1" applyFont="1" applyBorder="1" applyAlignment="1">
      <alignment horizontal="center" vertical="center"/>
    </xf>
    <xf numFmtId="166" fontId="18" fillId="0" borderId="13" xfId="7" applyNumberFormat="1" applyFont="1" applyBorder="1" applyAlignment="1">
      <alignment horizontal="center" vertical="center" wrapText="1"/>
    </xf>
    <xf numFmtId="0" fontId="18" fillId="0" borderId="13" xfId="7" applyNumberFormat="1" applyFont="1" applyBorder="1" applyAlignment="1">
      <alignment horizontal="center" vertical="center" wrapText="1"/>
    </xf>
    <xf numFmtId="166" fontId="18" fillId="0" borderId="13" xfId="7" applyNumberFormat="1" applyFont="1" applyFill="1" applyBorder="1" applyAlignment="1">
      <alignment horizontal="center" vertical="center"/>
    </xf>
    <xf numFmtId="166" fontId="18" fillId="0" borderId="13" xfId="7" applyNumberFormat="1" applyFont="1" applyFill="1" applyBorder="1" applyAlignment="1">
      <alignment horizontal="center" vertical="center" wrapText="1"/>
    </xf>
    <xf numFmtId="166" fontId="18" fillId="0" borderId="13" xfId="0" applyNumberFormat="1" applyFont="1" applyFill="1" applyBorder="1" applyAlignment="1">
      <alignment horizontal="justify" vertical="top" wrapText="1"/>
    </xf>
    <xf numFmtId="0" fontId="17" fillId="0" borderId="13" xfId="0" applyFont="1" applyFill="1" applyBorder="1" applyAlignment="1">
      <alignment horizontal="center" vertical="center"/>
    </xf>
    <xf numFmtId="0" fontId="17" fillId="0" borderId="13"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0" xfId="0" applyFont="1" applyFill="1" applyBorder="1" applyAlignment="1">
      <alignment horizontal="justify" vertical="center" wrapText="1"/>
    </xf>
    <xf numFmtId="166" fontId="18" fillId="0" borderId="0" xfId="7" applyNumberFormat="1" applyFont="1" applyFill="1" applyBorder="1" applyAlignment="1">
      <alignment horizontal="justify" vertical="center" wrapText="1"/>
    </xf>
    <xf numFmtId="166" fontId="19" fillId="0" borderId="13" xfId="7" applyNumberFormat="1" applyFont="1" applyFill="1" applyBorder="1" applyAlignment="1">
      <alignment horizontal="justify" vertical="center" wrapText="1"/>
    </xf>
    <xf numFmtId="166" fontId="18" fillId="0" borderId="13" xfId="0" applyNumberFormat="1" applyFont="1" applyBorder="1" applyAlignment="1">
      <alignment horizontal="center" vertical="center" wrapText="1"/>
    </xf>
    <xf numFmtId="0" fontId="18" fillId="0" borderId="13" xfId="0" applyNumberFormat="1" applyFont="1" applyBorder="1" applyAlignment="1">
      <alignment horizontal="center" vertical="center" wrapText="1"/>
    </xf>
    <xf numFmtId="167" fontId="18" fillId="0" borderId="13" xfId="7" applyNumberFormat="1" applyFont="1" applyBorder="1" applyAlignment="1">
      <alignment horizontal="center" vertical="center" wrapText="1"/>
    </xf>
    <xf numFmtId="168" fontId="18" fillId="0" borderId="13" xfId="0" applyNumberFormat="1" applyFont="1" applyBorder="1" applyAlignment="1">
      <alignment horizontal="center" vertical="center" wrapText="1"/>
    </xf>
    <xf numFmtId="168" fontId="18" fillId="0" borderId="13" xfId="0" applyNumberFormat="1" applyFont="1" applyBorder="1" applyAlignment="1">
      <alignment horizontal="justify" vertical="center" wrapText="1"/>
    </xf>
    <xf numFmtId="0" fontId="13" fillId="0" borderId="13" xfId="0" applyNumberFormat="1" applyFont="1" applyBorder="1" applyAlignment="1">
      <alignment vertical="center"/>
    </xf>
    <xf numFmtId="168" fontId="13" fillId="0" borderId="13" xfId="0" applyNumberFormat="1" applyFont="1" applyBorder="1" applyAlignment="1">
      <alignment vertical="center"/>
    </xf>
    <xf numFmtId="166" fontId="0" fillId="0" borderId="13" xfId="7" applyNumberFormat="1" applyFont="1" applyBorder="1"/>
    <xf numFmtId="44" fontId="0" fillId="0" borderId="13" xfId="0" applyNumberFormat="1" applyBorder="1"/>
    <xf numFmtId="10" fontId="8" fillId="0" borderId="13" xfId="0" applyNumberFormat="1" applyFont="1" applyBorder="1" applyAlignment="1">
      <alignment horizontal="justify" vertical="center" wrapText="1"/>
    </xf>
    <xf numFmtId="44" fontId="8" fillId="0" borderId="13" xfId="7" applyNumberFormat="1" applyFont="1" applyBorder="1" applyAlignment="1">
      <alignment horizontal="justify" vertical="center" wrapText="1"/>
    </xf>
    <xf numFmtId="44" fontId="7" fillId="0" borderId="13" xfId="7" applyNumberFormat="1" applyFont="1" applyBorder="1"/>
    <xf numFmtId="44" fontId="8" fillId="0" borderId="16" xfId="7" applyNumberFormat="1" applyFont="1" applyBorder="1" applyAlignment="1">
      <alignment horizontal="justify" vertical="center" wrapText="1"/>
    </xf>
    <xf numFmtId="44" fontId="8" fillId="0" borderId="13" xfId="7" applyNumberFormat="1" applyFont="1" applyBorder="1" applyAlignment="1">
      <alignment horizontal="justify" vertical="center"/>
    </xf>
    <xf numFmtId="44" fontId="8" fillId="0" borderId="13" xfId="7" applyNumberFormat="1" applyFont="1" applyBorder="1" applyAlignment="1">
      <alignment horizontal="center" vertical="center" wrapText="1"/>
    </xf>
    <xf numFmtId="44" fontId="8" fillId="0" borderId="16" xfId="7" applyNumberFormat="1" applyFont="1" applyBorder="1" applyAlignment="1">
      <alignment horizontal="center" vertical="center" wrapText="1"/>
    </xf>
    <xf numFmtId="44" fontId="4" fillId="0" borderId="13" xfId="7" applyNumberFormat="1" applyFont="1" applyBorder="1" applyAlignment="1">
      <alignment horizontal="justify" vertical="center" wrapText="1"/>
    </xf>
    <xf numFmtId="44" fontId="4" fillId="0" borderId="13" xfId="7" applyNumberFormat="1" applyFont="1" applyBorder="1" applyAlignment="1">
      <alignment horizontal="center" vertical="center" wrapText="1"/>
    </xf>
    <xf numFmtId="44" fontId="4" fillId="0" borderId="16" xfId="7" applyNumberFormat="1" applyFont="1" applyBorder="1" applyAlignment="1">
      <alignment horizontal="center" vertical="center" wrapText="1"/>
    </xf>
    <xf numFmtId="44" fontId="7" fillId="0" borderId="16" xfId="7" applyNumberFormat="1" applyFont="1" applyBorder="1"/>
    <xf numFmtId="44" fontId="7" fillId="0" borderId="10" xfId="7" applyNumberFormat="1" applyFont="1" applyBorder="1"/>
    <xf numFmtId="0" fontId="4" fillId="2" borderId="13"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4" fillId="2" borderId="13" xfId="0" applyFont="1" applyFill="1" applyBorder="1" applyAlignment="1">
      <alignment horizontal="justify" vertical="center" wrapText="1"/>
    </xf>
    <xf numFmtId="0" fontId="7" fillId="2" borderId="0" xfId="0" applyFont="1" applyFill="1"/>
    <xf numFmtId="0" fontId="4" fillId="2" borderId="13" xfId="0" applyFont="1" applyFill="1" applyBorder="1" applyAlignment="1">
      <alignment horizontal="center" vertical="center" wrapText="1"/>
    </xf>
    <xf numFmtId="44" fontId="7" fillId="2" borderId="13" xfId="7" applyNumberFormat="1" applyFont="1" applyFill="1" applyBorder="1"/>
    <xf numFmtId="44" fontId="7" fillId="2" borderId="13" xfId="7" applyNumberFormat="1" applyFont="1" applyFill="1" applyBorder="1" applyAlignment="1">
      <alignment vertical="center"/>
    </xf>
    <xf numFmtId="44" fontId="8" fillId="2" borderId="13" xfId="7" applyNumberFormat="1" applyFont="1" applyFill="1" applyBorder="1" applyAlignment="1">
      <alignment horizontal="justify" vertical="center" wrapText="1"/>
    </xf>
    <xf numFmtId="44" fontId="4" fillId="2" borderId="10" xfId="7" applyNumberFormat="1" applyFont="1" applyFill="1" applyBorder="1" applyAlignment="1">
      <alignment horizontal="justify" vertical="center" wrapText="1"/>
    </xf>
    <xf numFmtId="44" fontId="9" fillId="2" borderId="10" xfId="7" applyNumberFormat="1" applyFont="1" applyFill="1" applyBorder="1"/>
    <xf numFmtId="44" fontId="8" fillId="2" borderId="13" xfId="7" applyNumberFormat="1" applyFont="1" applyFill="1" applyBorder="1" applyAlignment="1">
      <alignment horizontal="justify" vertical="center"/>
    </xf>
    <xf numFmtId="44" fontId="8" fillId="2" borderId="16" xfId="7" applyNumberFormat="1" applyFont="1" applyFill="1" applyBorder="1" applyAlignment="1">
      <alignment horizontal="justify" vertical="center"/>
    </xf>
    <xf numFmtId="44" fontId="9" fillId="2" borderId="10" xfId="0" applyNumberFormat="1" applyFont="1" applyFill="1" applyBorder="1"/>
    <xf numFmtId="44" fontId="7" fillId="2" borderId="10" xfId="7" applyNumberFormat="1" applyFont="1" applyFill="1" applyBorder="1"/>
    <xf numFmtId="44" fontId="9" fillId="2" borderId="13" xfId="7" applyNumberFormat="1" applyFont="1" applyFill="1" applyBorder="1"/>
    <xf numFmtId="44" fontId="7" fillId="2" borderId="13" xfId="0" applyNumberFormat="1" applyFont="1" applyFill="1" applyBorder="1"/>
    <xf numFmtId="44" fontId="7" fillId="2" borderId="13" xfId="7" applyFont="1" applyFill="1" applyBorder="1"/>
    <xf numFmtId="0" fontId="12" fillId="2" borderId="13" xfId="0" applyFont="1" applyFill="1" applyBorder="1" applyAlignment="1">
      <alignment vertical="center" wrapText="1"/>
    </xf>
    <xf numFmtId="0" fontId="7" fillId="2" borderId="13" xfId="0" applyFont="1" applyFill="1" applyBorder="1"/>
    <xf numFmtId="0" fontId="27" fillId="2" borderId="0" xfId="0" applyFont="1" applyFill="1"/>
    <xf numFmtId="0" fontId="23" fillId="2" borderId="0" xfId="0" applyFont="1" applyFill="1" applyBorder="1" applyAlignment="1">
      <alignment vertical="center" wrapText="1"/>
    </xf>
    <xf numFmtId="0" fontId="22" fillId="2" borderId="0" xfId="0" applyFont="1" applyFill="1"/>
    <xf numFmtId="0" fontId="12" fillId="2" borderId="0" xfId="0" applyFont="1" applyFill="1" applyBorder="1" applyAlignment="1">
      <alignment vertical="center" wrapText="1"/>
    </xf>
    <xf numFmtId="0" fontId="27" fillId="2" borderId="0" xfId="0" applyFont="1" applyFill="1" applyAlignment="1">
      <alignment vertical="top"/>
    </xf>
    <xf numFmtId="1" fontId="6" fillId="2" borderId="13" xfId="0" applyNumberFormat="1" applyFont="1" applyFill="1" applyBorder="1" applyAlignment="1">
      <alignment horizontal="justify" vertical="top" wrapText="1"/>
    </xf>
    <xf numFmtId="1" fontId="6" fillId="2" borderId="13" xfId="0" applyNumberFormat="1" applyFont="1" applyFill="1" applyBorder="1" applyAlignment="1">
      <alignment horizontal="justify" vertical="top"/>
    </xf>
    <xf numFmtId="1" fontId="6" fillId="2" borderId="13" xfId="0" applyNumberFormat="1" applyFont="1" applyFill="1" applyBorder="1" applyAlignment="1">
      <alignment horizontal="center" vertical="top" wrapText="1"/>
    </xf>
    <xf numFmtId="1" fontId="6" fillId="2" borderId="13" xfId="0" applyNumberFormat="1" applyFont="1" applyFill="1" applyBorder="1" applyAlignment="1">
      <alignment vertical="top"/>
    </xf>
    <xf numFmtId="0" fontId="6" fillId="2" borderId="13" xfId="0" applyFont="1" applyFill="1" applyBorder="1" applyAlignment="1">
      <alignment horizontal="center" vertical="top" wrapText="1"/>
    </xf>
    <xf numFmtId="1" fontId="6" fillId="2" borderId="13" xfId="0" applyNumberFormat="1" applyFont="1" applyFill="1" applyBorder="1" applyAlignment="1">
      <alignment horizontal="left" vertical="top" wrapText="1"/>
    </xf>
    <xf numFmtId="1" fontId="6" fillId="2" borderId="13" xfId="0" applyNumberFormat="1" applyFont="1" applyFill="1" applyBorder="1" applyAlignment="1">
      <alignment vertical="top" wrapText="1"/>
    </xf>
    <xf numFmtId="44" fontId="8" fillId="2" borderId="13" xfId="7" applyNumberFormat="1" applyFont="1" applyFill="1" applyBorder="1" applyAlignment="1">
      <alignment horizontal="center" vertical="center" wrapText="1"/>
    </xf>
    <xf numFmtId="1" fontId="6" fillId="2" borderId="10" xfId="0" applyNumberFormat="1" applyFont="1" applyFill="1" applyBorder="1" applyAlignment="1">
      <alignment horizontal="left" vertical="top" wrapText="1"/>
    </xf>
    <xf numFmtId="0" fontId="6" fillId="2" borderId="13" xfId="0" applyFont="1" applyFill="1" applyBorder="1" applyAlignment="1">
      <alignment vertical="top" wrapText="1"/>
    </xf>
    <xf numFmtId="0" fontId="0" fillId="2" borderId="0" xfId="0" applyFill="1" applyBorder="1" applyAlignment="1">
      <alignment vertical="top"/>
    </xf>
    <xf numFmtId="0" fontId="7" fillId="2" borderId="0" xfId="0" applyFont="1" applyFill="1" applyAlignment="1">
      <alignment vertical="top" wrapText="1"/>
    </xf>
    <xf numFmtId="0" fontId="12" fillId="2" borderId="13" xfId="0" applyFont="1" applyFill="1" applyBorder="1" applyAlignment="1">
      <alignment horizontal="center" vertical="center" wrapText="1"/>
    </xf>
    <xf numFmtId="0" fontId="14" fillId="2" borderId="0" xfId="0" applyFont="1" applyFill="1" applyAlignment="1">
      <alignment vertical="center" wrapText="1"/>
    </xf>
    <xf numFmtId="0" fontId="6" fillId="2" borderId="13" xfId="0" applyFont="1" applyFill="1" applyBorder="1" applyAlignment="1">
      <alignment vertical="center" wrapText="1"/>
    </xf>
    <xf numFmtId="0" fontId="6" fillId="2" borderId="13" xfId="0" applyNumberFormat="1" applyFont="1" applyFill="1" applyBorder="1" applyAlignment="1">
      <alignment horizontal="left" vertical="top" wrapText="1"/>
    </xf>
    <xf numFmtId="0" fontId="6" fillId="2" borderId="0" xfId="0" applyFont="1" applyFill="1" applyBorder="1"/>
    <xf numFmtId="0" fontId="28" fillId="2" borderId="13" xfId="0" applyFont="1" applyFill="1" applyBorder="1" applyAlignment="1">
      <alignment vertical="top" wrapText="1"/>
    </xf>
    <xf numFmtId="0" fontId="6" fillId="2" borderId="0" xfId="0" applyFont="1" applyFill="1" applyAlignment="1">
      <alignment vertical="top" wrapText="1"/>
    </xf>
    <xf numFmtId="0" fontId="6" fillId="2" borderId="0" xfId="0" applyFont="1" applyFill="1"/>
    <xf numFmtId="0" fontId="30" fillId="2" borderId="0" xfId="0" applyFont="1" applyFill="1" applyBorder="1" applyAlignment="1">
      <alignment vertical="center" wrapText="1"/>
    </xf>
    <xf numFmtId="0" fontId="31" fillId="2" borderId="0" xfId="0" applyFont="1" applyFill="1" applyAlignment="1">
      <alignment vertical="center" wrapText="1"/>
    </xf>
    <xf numFmtId="0" fontId="14" fillId="2" borderId="0" xfId="0" applyFont="1" applyFill="1" applyAlignment="1">
      <alignment horizontal="left" vertical="center" wrapText="1"/>
    </xf>
    <xf numFmtId="0" fontId="18" fillId="0" borderId="13" xfId="0" applyFont="1" applyBorder="1" applyAlignment="1">
      <alignment horizontal="justify" vertical="top" wrapText="1"/>
    </xf>
    <xf numFmtId="0" fontId="18" fillId="2" borderId="0" xfId="0" applyFont="1" applyFill="1" applyBorder="1" applyAlignment="1">
      <alignment horizontal="justify" vertical="center" wrapText="1"/>
    </xf>
    <xf numFmtId="0" fontId="24" fillId="2" borderId="13" xfId="0" applyFont="1" applyFill="1" applyBorder="1" applyAlignment="1">
      <alignment wrapText="1"/>
    </xf>
    <xf numFmtId="0" fontId="13" fillId="2" borderId="0" xfId="0" applyFont="1" applyFill="1" applyBorder="1"/>
    <xf numFmtId="0" fontId="0" fillId="2" borderId="0" xfId="0" applyFill="1" applyBorder="1"/>
    <xf numFmtId="0" fontId="15" fillId="2" borderId="13" xfId="0" applyFont="1" applyFill="1" applyBorder="1" applyAlignment="1">
      <alignment horizontal="center" vertical="center" wrapText="1"/>
    </xf>
    <xf numFmtId="0" fontId="15" fillId="2" borderId="13" xfId="0" applyFont="1" applyFill="1" applyBorder="1" applyAlignment="1">
      <alignment horizontal="justify" vertical="center" wrapText="1"/>
    </xf>
    <xf numFmtId="0" fontId="11" fillId="2" borderId="13" xfId="0" applyFont="1" applyFill="1" applyBorder="1" applyAlignment="1">
      <alignment horizontal="justify" vertical="center" wrapText="1"/>
    </xf>
    <xf numFmtId="0" fontId="11" fillId="2" borderId="13" xfId="0" applyFont="1" applyFill="1" applyBorder="1" applyAlignment="1">
      <alignment horizontal="center" vertical="center"/>
    </xf>
    <xf numFmtId="166" fontId="11" fillId="2" borderId="13" xfId="7" applyNumberFormat="1" applyFont="1" applyFill="1" applyBorder="1" applyAlignment="1">
      <alignment horizontal="justify" vertical="center"/>
    </xf>
    <xf numFmtId="168" fontId="11" fillId="2" borderId="13" xfId="0" applyNumberFormat="1" applyFont="1" applyFill="1" applyBorder="1" applyAlignment="1">
      <alignment horizontal="justify" vertical="center"/>
    </xf>
    <xf numFmtId="0" fontId="0" fillId="2" borderId="13" xfId="0" applyFill="1" applyBorder="1" applyAlignment="1">
      <alignment vertical="top" wrapText="1"/>
    </xf>
    <xf numFmtId="0" fontId="0" fillId="2" borderId="13" xfId="0" applyFill="1" applyBorder="1" applyAlignment="1">
      <alignment wrapText="1"/>
    </xf>
    <xf numFmtId="0" fontId="11" fillId="2" borderId="13" xfId="0" applyFont="1" applyFill="1" applyBorder="1" applyAlignment="1">
      <alignment horizontal="center" vertical="center" wrapText="1"/>
    </xf>
    <xf numFmtId="166" fontId="11" fillId="2" borderId="13" xfId="0" applyNumberFormat="1" applyFont="1" applyFill="1" applyBorder="1" applyAlignment="1">
      <alignment horizontal="justify" vertical="center"/>
    </xf>
    <xf numFmtId="0" fontId="2" fillId="2" borderId="4" xfId="0" applyFont="1" applyFill="1" applyBorder="1"/>
    <xf numFmtId="0" fontId="2" fillId="2" borderId="5" xfId="0" applyFont="1" applyFill="1" applyBorder="1"/>
    <xf numFmtId="0" fontId="2" fillId="2" borderId="5" xfId="0" applyFont="1" applyFill="1" applyBorder="1" applyAlignment="1">
      <alignment vertical="center"/>
    </xf>
    <xf numFmtId="0" fontId="2" fillId="2" borderId="17" xfId="0" applyFont="1" applyFill="1" applyBorder="1"/>
    <xf numFmtId="166" fontId="10" fillId="2" borderId="13" xfId="0" applyNumberFormat="1" applyFont="1" applyFill="1" applyBorder="1" applyAlignment="1">
      <alignment horizontal="justify" vertical="top"/>
    </xf>
    <xf numFmtId="0" fontId="0" fillId="2" borderId="16" xfId="0" applyFill="1" applyBorder="1" applyAlignment="1">
      <alignment vertical="top"/>
    </xf>
    <xf numFmtId="168" fontId="1" fillId="2" borderId="13" xfId="0" applyNumberFormat="1" applyFont="1" applyFill="1" applyBorder="1" applyAlignment="1">
      <alignment vertical="top"/>
    </xf>
    <xf numFmtId="166" fontId="1" fillId="2" borderId="13" xfId="0" applyNumberFormat="1" applyFont="1" applyFill="1" applyBorder="1" applyAlignment="1">
      <alignment vertical="top"/>
    </xf>
    <xf numFmtId="0" fontId="11" fillId="2" borderId="0" xfId="0" applyFont="1" applyFill="1" applyBorder="1" applyAlignment="1">
      <alignment horizontal="justify" vertical="center"/>
    </xf>
    <xf numFmtId="0" fontId="11" fillId="2" borderId="0" xfId="0" applyFont="1" applyFill="1" applyBorder="1" applyAlignment="1">
      <alignment horizontal="center" vertical="center"/>
    </xf>
    <xf numFmtId="0" fontId="10" fillId="2" borderId="0" xfId="0" applyFont="1" applyFill="1" applyBorder="1" applyAlignment="1">
      <alignment horizontal="justify" vertical="center"/>
    </xf>
    <xf numFmtId="0" fontId="0" fillId="2" borderId="14" xfId="0" applyFill="1" applyBorder="1"/>
    <xf numFmtId="0" fontId="0" fillId="2" borderId="12" xfId="0" applyFill="1" applyBorder="1"/>
    <xf numFmtId="0" fontId="2" fillId="2" borderId="0" xfId="0" applyFont="1" applyFill="1" applyBorder="1"/>
    <xf numFmtId="0" fontId="2" fillId="2" borderId="0" xfId="0" applyFont="1" applyFill="1" applyBorder="1" applyAlignment="1">
      <alignment vertical="center"/>
    </xf>
    <xf numFmtId="0" fontId="12" fillId="2" borderId="13" xfId="0" applyFont="1" applyFill="1" applyBorder="1" applyAlignment="1">
      <alignment horizontal="justify" vertical="center" wrapText="1"/>
    </xf>
    <xf numFmtId="0" fontId="0" fillId="2" borderId="13" xfId="0" applyFill="1" applyBorder="1"/>
    <xf numFmtId="0" fontId="0" fillId="2" borderId="13" xfId="0" applyFont="1" applyFill="1" applyBorder="1" applyAlignment="1">
      <alignment vertical="top" wrapText="1"/>
    </xf>
    <xf numFmtId="0" fontId="0" fillId="2" borderId="13" xfId="0" applyFill="1" applyBorder="1" applyAlignment="1">
      <alignment vertical="top"/>
    </xf>
    <xf numFmtId="166" fontId="0" fillId="2" borderId="13" xfId="7" applyNumberFormat="1" applyFont="1" applyFill="1" applyBorder="1"/>
    <xf numFmtId="0" fontId="0" fillId="2" borderId="0" xfId="0" applyFill="1"/>
    <xf numFmtId="0" fontId="0" fillId="2" borderId="0" xfId="0" applyFill="1" applyBorder="1" applyAlignment="1">
      <alignment wrapText="1"/>
    </xf>
    <xf numFmtId="44" fontId="0" fillId="0" borderId="13" xfId="7" applyFont="1" applyBorder="1"/>
    <xf numFmtId="165" fontId="5" fillId="2" borderId="13" xfId="2" applyNumberFormat="1" applyFont="1" applyFill="1" applyBorder="1" applyAlignment="1">
      <alignment horizontal="center" vertical="center" wrapText="1"/>
    </xf>
    <xf numFmtId="0" fontId="7" fillId="0" borderId="13" xfId="0" applyFont="1" applyBorder="1" applyAlignment="1">
      <alignment horizontal="left" vertical="top" wrapText="1"/>
    </xf>
    <xf numFmtId="0" fontId="9" fillId="0" borderId="13" xfId="0" applyFont="1" applyBorder="1" applyAlignment="1">
      <alignment horizontal="left" vertical="top"/>
    </xf>
    <xf numFmtId="0" fontId="7" fillId="0" borderId="13" xfId="0" applyFont="1" applyBorder="1" applyAlignment="1">
      <alignment horizontal="left" vertical="top"/>
    </xf>
    <xf numFmtId="165" fontId="5" fillId="2" borderId="16"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165" fontId="5" fillId="0" borderId="13" xfId="2" applyNumberFormat="1" applyFont="1" applyFill="1" applyBorder="1" applyAlignment="1">
      <alignment horizontal="center" vertical="center" wrapText="1"/>
    </xf>
    <xf numFmtId="165" fontId="5" fillId="0" borderId="16" xfId="2" applyNumberFormat="1" applyFont="1" applyFill="1" applyBorder="1" applyAlignment="1">
      <alignment horizontal="center" vertical="center" wrapText="1"/>
    </xf>
    <xf numFmtId="0" fontId="4" fillId="0" borderId="13" xfId="0" applyFont="1" applyBorder="1" applyAlignment="1">
      <alignment horizontal="center" vertical="center" wrapText="1"/>
    </xf>
    <xf numFmtId="0" fontId="4" fillId="2" borderId="13" xfId="0" applyFont="1" applyFill="1" applyBorder="1" applyAlignment="1">
      <alignment horizontal="justify" vertical="center" wrapText="1"/>
    </xf>
    <xf numFmtId="0" fontId="4" fillId="0" borderId="13" xfId="0" applyFont="1" applyBorder="1" applyAlignment="1">
      <alignment horizontal="justify" vertical="center"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10" xfId="0" applyFont="1" applyBorder="1" applyAlignment="1">
      <alignment horizontal="left" vertical="top"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13" xfId="0" applyFont="1" applyBorder="1" applyAlignment="1">
      <alignment horizontal="justify"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2" borderId="13" xfId="0" applyFont="1" applyFill="1" applyBorder="1" applyAlignment="1">
      <alignment horizontal="justify" vertical="center" wrapText="1"/>
    </xf>
    <xf numFmtId="10" fontId="8" fillId="0" borderId="13" xfId="0" applyNumberFormat="1" applyFont="1" applyBorder="1" applyAlignment="1">
      <alignment horizontal="justify" vertical="center" wrapText="1"/>
    </xf>
    <xf numFmtId="44" fontId="7" fillId="0" borderId="16" xfId="7" applyNumberFormat="1" applyFont="1" applyBorder="1" applyAlignment="1">
      <alignment horizontal="center"/>
    </xf>
    <xf numFmtId="44" fontId="7" fillId="0" borderId="15" xfId="7" applyNumberFormat="1" applyFont="1" applyBorder="1" applyAlignment="1">
      <alignment horizont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4" fillId="0" borderId="12" xfId="0" applyFont="1" applyBorder="1" applyAlignment="1">
      <alignment horizontal="left" vertical="center" wrapText="1"/>
    </xf>
    <xf numFmtId="44" fontId="7" fillId="0" borderId="10" xfId="7" applyNumberFormat="1" applyFont="1" applyBorder="1" applyAlignment="1">
      <alignment horizontal="center"/>
    </xf>
    <xf numFmtId="165" fontId="5" fillId="3" borderId="13" xfId="2" applyNumberFormat="1" applyFont="1" applyFill="1" applyBorder="1" applyAlignment="1">
      <alignment horizontal="left" vertical="center" wrapText="1"/>
    </xf>
    <xf numFmtId="0" fontId="7" fillId="0" borderId="0" xfId="0" applyFont="1" applyAlignment="1">
      <alignment horizontal="left" vertical="top" wrapText="1"/>
    </xf>
    <xf numFmtId="0" fontId="12" fillId="0" borderId="13" xfId="0" applyFont="1" applyBorder="1" applyAlignment="1">
      <alignment horizontal="left" vertical="center" wrapText="1"/>
    </xf>
    <xf numFmtId="0" fontId="23" fillId="0" borderId="13" xfId="0" applyFont="1" applyBorder="1" applyAlignment="1">
      <alignment horizontal="center" vertical="center" wrapText="1"/>
    </xf>
    <xf numFmtId="0" fontId="14" fillId="0" borderId="0" xfId="0" applyFont="1" applyAlignment="1">
      <alignment horizontal="left" vertical="center" wrapText="1"/>
    </xf>
    <xf numFmtId="44" fontId="8" fillId="2" borderId="16" xfId="7" applyNumberFormat="1" applyFont="1" applyFill="1" applyBorder="1" applyAlignment="1">
      <alignment horizontal="center" vertical="center" wrapText="1"/>
    </xf>
    <xf numFmtId="44" fontId="8" fillId="2" borderId="10" xfId="7" applyNumberFormat="1" applyFont="1" applyFill="1" applyBorder="1" applyAlignment="1">
      <alignment horizontal="center" vertical="center" wrapText="1"/>
    </xf>
    <xf numFmtId="44" fontId="7" fillId="2" borderId="16" xfId="7" applyNumberFormat="1" applyFont="1" applyFill="1" applyBorder="1" applyAlignment="1">
      <alignment horizontal="center"/>
    </xf>
    <xf numFmtId="44" fontId="7" fillId="2" borderId="10" xfId="7" applyNumberFormat="1" applyFont="1" applyFill="1" applyBorder="1" applyAlignment="1">
      <alignment horizontal="center"/>
    </xf>
    <xf numFmtId="44" fontId="7" fillId="0" borderId="17" xfId="7" applyNumberFormat="1" applyFont="1" applyBorder="1" applyAlignment="1">
      <alignment horizontal="center"/>
    </xf>
    <xf numFmtId="44" fontId="7" fillId="0" borderId="9" xfId="7" applyNumberFormat="1" applyFont="1" applyBorder="1" applyAlignment="1">
      <alignment horizontal="center"/>
    </xf>
    <xf numFmtId="44" fontId="8" fillId="2" borderId="16" xfId="7" applyNumberFormat="1" applyFont="1" applyFill="1" applyBorder="1" applyAlignment="1">
      <alignment horizontal="center" vertical="center"/>
    </xf>
    <xf numFmtId="44" fontId="8" fillId="2" borderId="10" xfId="7" applyNumberFormat="1" applyFont="1" applyFill="1" applyBorder="1" applyAlignment="1">
      <alignment horizontal="center" vertical="center"/>
    </xf>
    <xf numFmtId="44" fontId="8" fillId="2" borderId="15" xfId="7" applyNumberFormat="1" applyFont="1" applyFill="1" applyBorder="1" applyAlignment="1">
      <alignment horizontal="center" vertical="center"/>
    </xf>
    <xf numFmtId="0" fontId="7" fillId="2" borderId="13" xfId="0" applyFont="1" applyFill="1" applyBorder="1" applyAlignment="1">
      <alignment horizontal="left" vertical="top" wrapText="1"/>
    </xf>
    <xf numFmtId="0" fontId="7" fillId="2" borderId="13" xfId="0" applyFont="1" applyFill="1" applyBorder="1" applyAlignment="1">
      <alignment horizontal="left" vertical="top"/>
    </xf>
    <xf numFmtId="0" fontId="14" fillId="2" borderId="0" xfId="0" applyFont="1" applyFill="1" applyAlignment="1">
      <alignment horizontal="left" vertical="center" wrapText="1"/>
    </xf>
    <xf numFmtId="165" fontId="5" fillId="2" borderId="13" xfId="2" applyNumberFormat="1" applyFont="1" applyFill="1" applyBorder="1" applyAlignment="1">
      <alignment horizontal="left" vertical="top" wrapText="1"/>
    </xf>
    <xf numFmtId="0" fontId="7" fillId="2" borderId="0" xfId="0" applyFont="1" applyFill="1" applyAlignment="1">
      <alignment horizontal="left" vertical="top" wrapText="1"/>
    </xf>
    <xf numFmtId="0" fontId="31" fillId="2" borderId="13" xfId="0" applyFont="1" applyFill="1" applyBorder="1" applyAlignment="1">
      <alignment horizontal="left" vertical="top" wrapText="1"/>
    </xf>
    <xf numFmtId="0" fontId="12" fillId="0" borderId="13" xfId="0" applyFont="1" applyBorder="1" applyAlignment="1">
      <alignment horizontal="center" vertical="center" wrapText="1"/>
    </xf>
    <xf numFmtId="0" fontId="17" fillId="0" borderId="14"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0" fontId="17" fillId="0" borderId="13" xfId="0" applyFont="1" applyFill="1" applyBorder="1" applyAlignment="1">
      <alignment horizontal="center" vertical="center"/>
    </xf>
    <xf numFmtId="166" fontId="19" fillId="2" borderId="14" xfId="7" applyNumberFormat="1" applyFont="1" applyFill="1" applyBorder="1" applyAlignment="1">
      <alignment horizontal="left" vertical="center" wrapText="1"/>
    </xf>
    <xf numFmtId="166" fontId="19" fillId="2" borderId="11" xfId="7" applyNumberFormat="1" applyFont="1" applyFill="1" applyBorder="1" applyAlignment="1">
      <alignment horizontal="left" vertical="center" wrapText="1"/>
    </xf>
    <xf numFmtId="166" fontId="19" fillId="2" borderId="12" xfId="7" applyNumberFormat="1" applyFont="1" applyFill="1" applyBorder="1" applyAlignment="1">
      <alignment horizontal="left" vertical="center" wrapText="1"/>
    </xf>
    <xf numFmtId="0" fontId="1" fillId="2" borderId="13" xfId="0" applyFont="1" applyFill="1" applyBorder="1" applyAlignment="1">
      <alignment horizontal="center" vertical="center"/>
    </xf>
    <xf numFmtId="0" fontId="14" fillId="2" borderId="13" xfId="0" applyFont="1" applyFill="1" applyBorder="1" applyAlignment="1">
      <alignment horizontal="left" vertical="top"/>
    </xf>
    <xf numFmtId="0" fontId="16" fillId="2" borderId="13" xfId="0" applyFont="1" applyFill="1" applyBorder="1" applyAlignment="1">
      <alignment horizontal="center" vertical="center" wrapText="1"/>
    </xf>
    <xf numFmtId="165" fontId="5" fillId="2" borderId="13" xfId="2" applyNumberFormat="1" applyFont="1" applyFill="1" applyBorder="1" applyAlignment="1">
      <alignment horizontal="center" vertical="top" wrapText="1"/>
    </xf>
    <xf numFmtId="0" fontId="15" fillId="2" borderId="14"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0" xfId="0" applyFont="1" applyFill="1" applyBorder="1" applyAlignment="1">
      <alignment horizontal="center" vertical="center"/>
    </xf>
    <xf numFmtId="0" fontId="15" fillId="2" borderId="13" xfId="0" applyFont="1" applyFill="1" applyBorder="1" applyAlignment="1">
      <alignment horizontal="center" vertical="center" wrapText="1"/>
    </xf>
    <xf numFmtId="0" fontId="11" fillId="2" borderId="13" xfId="0" applyFont="1" applyFill="1" applyBorder="1" applyAlignment="1">
      <alignment horizontal="justify" vertical="center" wrapText="1"/>
    </xf>
    <xf numFmtId="166" fontId="0" fillId="2" borderId="14" xfId="0" applyNumberFormat="1"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12" fillId="2" borderId="13" xfId="0" applyFont="1" applyFill="1" applyBorder="1" applyAlignment="1">
      <alignment horizontal="left" vertical="center" wrapText="1"/>
    </xf>
    <xf numFmtId="0" fontId="23" fillId="2" borderId="13" xfId="0" applyFont="1" applyFill="1" applyBorder="1" applyAlignment="1">
      <alignment horizontal="center" vertical="center" wrapText="1"/>
    </xf>
    <xf numFmtId="165" fontId="5" fillId="2" borderId="0" xfId="2" applyNumberFormat="1" applyFont="1" applyFill="1" applyBorder="1" applyAlignment="1">
      <alignment horizontal="center" vertical="top" wrapText="1"/>
    </xf>
    <xf numFmtId="165" fontId="5" fillId="2" borderId="14" xfId="2" applyNumberFormat="1" applyFont="1" applyFill="1" applyBorder="1" applyAlignment="1">
      <alignment horizontal="left" vertical="top" wrapText="1"/>
    </xf>
    <xf numFmtId="165" fontId="5" fillId="2" borderId="11" xfId="2" applyNumberFormat="1" applyFont="1" applyFill="1" applyBorder="1" applyAlignment="1">
      <alignment horizontal="left" vertical="top" wrapText="1"/>
    </xf>
    <xf numFmtId="165" fontId="5" fillId="2" borderId="12" xfId="2" applyNumberFormat="1" applyFont="1" applyFill="1" applyBorder="1" applyAlignment="1">
      <alignment horizontal="left" vertical="top" wrapText="1"/>
    </xf>
    <xf numFmtId="0" fontId="16" fillId="4" borderId="13" xfId="0" applyFont="1" applyFill="1" applyBorder="1" applyAlignment="1">
      <alignment horizontal="center" vertical="center" wrapText="1"/>
    </xf>
    <xf numFmtId="166" fontId="0" fillId="2" borderId="14" xfId="0" applyNumberFormat="1"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0" fontId="10" fillId="0" borderId="13" xfId="0" applyFont="1" applyBorder="1" applyAlignment="1">
      <alignment horizontal="justify" vertical="center"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0" fillId="0" borderId="1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6" fillId="2" borderId="13" xfId="0" applyFont="1" applyFill="1" applyBorder="1" applyAlignment="1">
      <alignment horizontal="left" vertical="top" wrapText="1"/>
    </xf>
    <xf numFmtId="0" fontId="7" fillId="0" borderId="5" xfId="0" applyFont="1" applyBorder="1" applyAlignment="1">
      <alignment horizontal="left" vertical="top"/>
    </xf>
  </cellXfs>
  <cellStyles count="8">
    <cellStyle name="Millares 2" xfId="6"/>
    <cellStyle name="Millares 3" xfId="4"/>
    <cellStyle name="Moneda" xfId="7" builtinId="4"/>
    <cellStyle name="Moneda 2" xfId="2"/>
    <cellStyle name="Normal" xfId="0" builtinId="0"/>
    <cellStyle name="Normal 2" xfId="5"/>
    <cellStyle name="Normal 3" xfId="1"/>
    <cellStyle name="Porcentaje 2"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topLeftCell="A97" zoomScaleNormal="100" workbookViewId="0">
      <selection activeCell="A101" sqref="A101:I101"/>
    </sheetView>
  </sheetViews>
  <sheetFormatPr baseColWidth="10" defaultRowHeight="12.75" x14ac:dyDescent="0.2"/>
  <cols>
    <col min="1" max="1" width="21.42578125" style="1" customWidth="1"/>
    <col min="2" max="2" width="11.42578125" style="77"/>
    <col min="3" max="4" width="11.42578125" style="1"/>
    <col min="5" max="5" width="14.140625" style="1" bestFit="1" customWidth="1"/>
    <col min="6" max="6" width="11.7109375" style="1" bestFit="1" customWidth="1"/>
    <col min="7" max="7" width="12.5703125" style="1" bestFit="1" customWidth="1"/>
    <col min="8" max="8" width="19.85546875" style="77" customWidth="1"/>
    <col min="9" max="9" width="30" style="77" customWidth="1"/>
    <col min="10" max="12" width="11.42578125" style="77"/>
    <col min="13" max="16384" width="11.42578125" style="1"/>
  </cols>
  <sheetData>
    <row r="1" spans="1:9" ht="32.25" customHeight="1" x14ac:dyDescent="0.2">
      <c r="A1" s="164" t="s">
        <v>0</v>
      </c>
      <c r="B1" s="165"/>
      <c r="C1" s="165"/>
      <c r="D1" s="170" t="s">
        <v>5</v>
      </c>
      <c r="E1" s="168" t="s">
        <v>186</v>
      </c>
      <c r="F1" s="159" t="s">
        <v>201</v>
      </c>
      <c r="G1" s="168" t="s">
        <v>189</v>
      </c>
      <c r="H1" s="159" t="s">
        <v>185</v>
      </c>
      <c r="I1" s="159" t="s">
        <v>211</v>
      </c>
    </row>
    <row r="2" spans="1:9" ht="33" customHeight="1" x14ac:dyDescent="0.2">
      <c r="A2" s="166"/>
      <c r="B2" s="167"/>
      <c r="C2" s="167"/>
      <c r="D2" s="176"/>
      <c r="E2" s="169"/>
      <c r="F2" s="163"/>
      <c r="G2" s="169"/>
      <c r="H2" s="163"/>
      <c r="I2" s="159"/>
    </row>
    <row r="3" spans="1:9" ht="15" customHeight="1" x14ac:dyDescent="0.2">
      <c r="A3" s="2"/>
      <c r="B3" s="170" t="s">
        <v>2</v>
      </c>
      <c r="C3" s="170"/>
      <c r="D3" s="170">
        <v>16</v>
      </c>
      <c r="E3" s="3"/>
      <c r="F3" s="3"/>
      <c r="G3" s="3"/>
      <c r="H3" s="78"/>
      <c r="I3" s="102"/>
    </row>
    <row r="4" spans="1:9" ht="13.5" customHeight="1" x14ac:dyDescent="0.2">
      <c r="A4" s="170" t="s">
        <v>4</v>
      </c>
      <c r="B4" s="171" t="s">
        <v>10</v>
      </c>
      <c r="C4" s="171"/>
      <c r="D4" s="170"/>
      <c r="E4" s="63">
        <v>644350</v>
      </c>
      <c r="F4" s="63"/>
      <c r="G4" s="63"/>
      <c r="H4" s="79"/>
      <c r="I4" s="102"/>
    </row>
    <row r="5" spans="1:9" ht="17.25" customHeight="1" x14ac:dyDescent="0.2">
      <c r="A5" s="170"/>
      <c r="B5" s="172" t="s">
        <v>11</v>
      </c>
      <c r="C5" s="172"/>
      <c r="D5" s="170"/>
      <c r="E5" s="63">
        <v>74000</v>
      </c>
      <c r="F5" s="63">
        <f>SUM(E5*10%)</f>
        <v>7400</v>
      </c>
      <c r="G5" s="63">
        <f>SUM(E5:F5)*16%</f>
        <v>13024</v>
      </c>
      <c r="H5" s="80">
        <f>SUM(E5:G5)*D3</f>
        <v>1510784</v>
      </c>
      <c r="I5" s="107"/>
    </row>
    <row r="6" spans="1:9" ht="38.25" customHeight="1" x14ac:dyDescent="0.2">
      <c r="A6" s="170"/>
      <c r="B6" s="172" t="s">
        <v>3</v>
      </c>
      <c r="C6" s="172"/>
      <c r="D6" s="170"/>
      <c r="E6" s="63">
        <f>SUM(E4:E5)</f>
        <v>718350</v>
      </c>
      <c r="F6" s="63">
        <f>SUM(E6*10%)</f>
        <v>71835</v>
      </c>
      <c r="G6" s="63">
        <f>SUM(E6:F6)*16%</f>
        <v>126429.6</v>
      </c>
      <c r="H6" s="81">
        <f>SUM(E6:G6)</f>
        <v>916614.6</v>
      </c>
      <c r="I6" s="103" t="s">
        <v>214</v>
      </c>
    </row>
    <row r="7" spans="1:9" ht="32.25" customHeight="1" x14ac:dyDescent="0.2">
      <c r="A7" s="170"/>
      <c r="B7" s="74" t="s">
        <v>12</v>
      </c>
      <c r="C7" s="4">
        <v>0.12</v>
      </c>
      <c r="D7" s="170"/>
      <c r="E7" s="63">
        <f>SUM(E4*C7)</f>
        <v>77322</v>
      </c>
      <c r="F7" s="63">
        <f>SUM(E7*10%)</f>
        <v>7732.2000000000007</v>
      </c>
      <c r="G7" s="63">
        <f t="shared" ref="G7:G10" si="0">SUM(E7:F7)*16%</f>
        <v>13608.672</v>
      </c>
      <c r="H7" s="81">
        <f t="shared" ref="H7:H9" si="1">SUM(E7:G7)</f>
        <v>98662.872000000003</v>
      </c>
      <c r="I7" s="103" t="s">
        <v>214</v>
      </c>
    </row>
    <row r="8" spans="1:9" ht="12.75" customHeight="1" x14ac:dyDescent="0.2">
      <c r="A8" s="170"/>
      <c r="B8" s="74" t="s">
        <v>13</v>
      </c>
      <c r="C8" s="4">
        <v>1.044E-2</v>
      </c>
      <c r="D8" s="170"/>
      <c r="E8" s="63">
        <f>SUM(E4*C8)</f>
        <v>6727.0140000000001</v>
      </c>
      <c r="F8" s="63">
        <f t="shared" ref="F8:F10" si="2">SUM(E8*10%)</f>
        <v>672.70140000000004</v>
      </c>
      <c r="G8" s="63">
        <f t="shared" si="0"/>
        <v>1183.9544640000001</v>
      </c>
      <c r="H8" s="81">
        <f t="shared" si="1"/>
        <v>8583.6698639999995</v>
      </c>
      <c r="I8" s="104"/>
    </row>
    <row r="9" spans="1:9" ht="25.5" x14ac:dyDescent="0.2">
      <c r="A9" s="170"/>
      <c r="B9" s="74" t="s">
        <v>14</v>
      </c>
      <c r="C9" s="4">
        <v>0.04</v>
      </c>
      <c r="D9" s="170"/>
      <c r="E9" s="63">
        <f>SUM(E4*C9)</f>
        <v>25774</v>
      </c>
      <c r="F9" s="63">
        <f t="shared" si="2"/>
        <v>2577.4</v>
      </c>
      <c r="G9" s="63">
        <f t="shared" si="0"/>
        <v>4536.2240000000002</v>
      </c>
      <c r="H9" s="81">
        <f t="shared" si="1"/>
        <v>32887.624000000003</v>
      </c>
      <c r="I9" s="104"/>
    </row>
    <row r="10" spans="1:9" ht="12.75" customHeight="1" x14ac:dyDescent="0.2">
      <c r="A10" s="170"/>
      <c r="B10" s="74" t="s">
        <v>15</v>
      </c>
      <c r="C10" s="38">
        <v>8.3299999999999999E-2</v>
      </c>
      <c r="D10" s="170"/>
      <c r="E10" s="63">
        <f>SUM(E6*C10)</f>
        <v>59838.555</v>
      </c>
      <c r="F10" s="63">
        <f t="shared" si="2"/>
        <v>5983.8555000000006</v>
      </c>
      <c r="G10" s="63">
        <f t="shared" si="0"/>
        <v>10531.58568</v>
      </c>
      <c r="H10" s="81">
        <f>SUM(E10:G10)</f>
        <v>76353.996180000002</v>
      </c>
      <c r="I10" s="104"/>
    </row>
    <row r="11" spans="1:9" ht="28.5" customHeight="1" x14ac:dyDescent="0.2">
      <c r="A11" s="170"/>
      <c r="B11" s="74" t="s">
        <v>16</v>
      </c>
      <c r="C11" s="4">
        <v>0.01</v>
      </c>
      <c r="D11" s="170"/>
      <c r="E11" s="65">
        <f>SUM(E6*C11)</f>
        <v>7183.5</v>
      </c>
      <c r="F11" s="63">
        <f>SUM(E11*10%)</f>
        <v>718.35</v>
      </c>
      <c r="G11" s="63">
        <f t="shared" ref="G11" si="3">SUM(E11:F11)*16%</f>
        <v>1264.296</v>
      </c>
      <c r="H11" s="81">
        <f>SUM(E11:G11)</f>
        <v>9166.1460000000006</v>
      </c>
      <c r="I11" s="103" t="s">
        <v>213</v>
      </c>
    </row>
    <row r="12" spans="1:9" ht="28.5" customHeight="1" x14ac:dyDescent="0.2">
      <c r="A12" s="170"/>
      <c r="B12" s="76" t="s">
        <v>17</v>
      </c>
      <c r="C12" s="62">
        <v>8.3299999999999999E-2</v>
      </c>
      <c r="D12" s="177"/>
      <c r="E12" s="67">
        <f>SUM(E6*C12)</f>
        <v>59838.555</v>
      </c>
      <c r="F12" s="67">
        <f>SUM(E12*10%)</f>
        <v>5983.8555000000006</v>
      </c>
      <c r="G12" s="67">
        <f>SUM(E12:F12)*16%</f>
        <v>10531.58568</v>
      </c>
      <c r="H12" s="105">
        <f>SUM(E12:G12)</f>
        <v>76353.996180000002</v>
      </c>
      <c r="I12" s="104"/>
    </row>
    <row r="13" spans="1:9" ht="15" customHeight="1" x14ac:dyDescent="0.2">
      <c r="A13" s="170"/>
      <c r="B13" s="76" t="s">
        <v>18</v>
      </c>
      <c r="C13" s="62">
        <v>4.1700000000000001E-2</v>
      </c>
      <c r="D13" s="177"/>
      <c r="E13" s="67">
        <f>SUM(E4*C13)</f>
        <v>26869.395</v>
      </c>
      <c r="F13" s="67">
        <f>SUM(E13*10%)</f>
        <v>2686.9395000000004</v>
      </c>
      <c r="G13" s="67">
        <f>SUM(E13:F13)*16%</f>
        <v>4729.0135200000004</v>
      </c>
      <c r="H13" s="105">
        <f>SUM(E13:G13)</f>
        <v>34285.348020000005</v>
      </c>
      <c r="I13" s="104"/>
    </row>
    <row r="14" spans="1:9" ht="27" customHeight="1" x14ac:dyDescent="0.2">
      <c r="A14" s="170"/>
      <c r="B14" s="178" t="s">
        <v>7</v>
      </c>
      <c r="C14" s="179"/>
      <c r="D14" s="179"/>
      <c r="E14" s="180"/>
      <c r="F14" s="180"/>
      <c r="G14" s="181"/>
      <c r="H14" s="82">
        <f>SUM(H6:H13)*D3</f>
        <v>20046532.035903998</v>
      </c>
      <c r="I14" s="106" t="s">
        <v>212</v>
      </c>
    </row>
    <row r="15" spans="1:9" ht="12.75" customHeight="1" x14ac:dyDescent="0.2">
      <c r="A15" s="176" t="s">
        <v>6</v>
      </c>
      <c r="B15" s="184" t="s">
        <v>202</v>
      </c>
      <c r="C15" s="184"/>
      <c r="D15" s="185">
        <v>22</v>
      </c>
      <c r="E15" s="63">
        <v>322175</v>
      </c>
      <c r="F15" s="63"/>
      <c r="G15" s="63"/>
      <c r="H15" s="81"/>
      <c r="I15" s="98"/>
    </row>
    <row r="16" spans="1:9" ht="12.75" customHeight="1" x14ac:dyDescent="0.2">
      <c r="A16" s="182"/>
      <c r="B16" s="184" t="s">
        <v>203</v>
      </c>
      <c r="C16" s="184"/>
      <c r="D16" s="185"/>
      <c r="E16" s="63">
        <v>74000</v>
      </c>
      <c r="F16" s="63">
        <f>SUM(E16*10%)</f>
        <v>7400</v>
      </c>
      <c r="G16" s="63">
        <f>SUM(E16:F16)*16%</f>
        <v>13024</v>
      </c>
      <c r="H16" s="80">
        <f>SUM(E16:G16)*D15</f>
        <v>2077328</v>
      </c>
      <c r="I16" s="98"/>
    </row>
    <row r="17" spans="1:9" ht="12.75" customHeight="1" x14ac:dyDescent="0.2">
      <c r="A17" s="182"/>
      <c r="B17" s="184" t="s">
        <v>3</v>
      </c>
      <c r="C17" s="184"/>
      <c r="D17" s="185"/>
      <c r="E17" s="63">
        <v>396175</v>
      </c>
      <c r="F17" s="63">
        <f>SUM(E17*10%)</f>
        <v>39617.5</v>
      </c>
      <c r="G17" s="63">
        <f>SUM(E17:F17)*16%</f>
        <v>69726.8</v>
      </c>
      <c r="H17" s="81">
        <f>SUM(E17:G17)</f>
        <v>505519.3</v>
      </c>
      <c r="I17" s="98"/>
    </row>
    <row r="18" spans="1:9" ht="12.75" customHeight="1" x14ac:dyDescent="0.2">
      <c r="A18" s="182"/>
      <c r="B18" s="75" t="s">
        <v>204</v>
      </c>
      <c r="C18" s="4">
        <v>0.12</v>
      </c>
      <c r="D18" s="185"/>
      <c r="E18" s="63">
        <f>SUM(E15*C18)</f>
        <v>38661</v>
      </c>
      <c r="F18" s="63">
        <f t="shared" ref="F18:F22" si="4">SUM(E18*10%)</f>
        <v>3866.1000000000004</v>
      </c>
      <c r="G18" s="63">
        <f t="shared" ref="G18:G22" si="5">SUM(E18:F18)*16%</f>
        <v>6804.3360000000002</v>
      </c>
      <c r="H18" s="81">
        <f>SUM(E18:G18)</f>
        <v>49331.436000000002</v>
      </c>
      <c r="I18" s="98"/>
    </row>
    <row r="19" spans="1:9" ht="12.75" customHeight="1" x14ac:dyDescent="0.2">
      <c r="A19" s="182"/>
      <c r="B19" s="75" t="s">
        <v>205</v>
      </c>
      <c r="C19" s="4">
        <v>1.044E-2</v>
      </c>
      <c r="D19" s="185"/>
      <c r="E19" s="66">
        <f>SUM(E15*C19)</f>
        <v>3363.5070000000001</v>
      </c>
      <c r="F19" s="63">
        <f t="shared" si="4"/>
        <v>336.35070000000002</v>
      </c>
      <c r="G19" s="63">
        <f t="shared" si="5"/>
        <v>591.97723200000007</v>
      </c>
      <c r="H19" s="81">
        <f t="shared" ref="H19:H22" si="6">SUM(E19:G19)</f>
        <v>4291.8349319999998</v>
      </c>
      <c r="I19" s="98"/>
    </row>
    <row r="20" spans="1:9" ht="25.5" x14ac:dyDescent="0.2">
      <c r="A20" s="182"/>
      <c r="B20" s="75" t="s">
        <v>206</v>
      </c>
      <c r="C20" s="4">
        <v>0.04</v>
      </c>
      <c r="D20" s="185"/>
      <c r="E20" s="63">
        <f>SUM(E15*C20)</f>
        <v>12887</v>
      </c>
      <c r="F20" s="63">
        <f t="shared" si="4"/>
        <v>1288.7</v>
      </c>
      <c r="G20" s="63">
        <f t="shared" si="5"/>
        <v>2268.1120000000001</v>
      </c>
      <c r="H20" s="81">
        <f t="shared" si="6"/>
        <v>16443.812000000002</v>
      </c>
      <c r="I20" s="98"/>
    </row>
    <row r="21" spans="1:9" ht="12.75" customHeight="1" x14ac:dyDescent="0.2">
      <c r="A21" s="182"/>
      <c r="B21" s="75" t="s">
        <v>207</v>
      </c>
      <c r="C21" s="38">
        <v>8.3299999999999999E-2</v>
      </c>
      <c r="D21" s="185"/>
      <c r="E21" s="67">
        <f>SUM(E17*C21)</f>
        <v>33001.377500000002</v>
      </c>
      <c r="F21" s="63">
        <f t="shared" si="4"/>
        <v>3300.1377500000003</v>
      </c>
      <c r="G21" s="63">
        <f t="shared" si="5"/>
        <v>5808.2424400000009</v>
      </c>
      <c r="H21" s="81">
        <f t="shared" si="6"/>
        <v>42109.757690000006</v>
      </c>
      <c r="I21" s="98"/>
    </row>
    <row r="22" spans="1:9" ht="12.75" customHeight="1" x14ac:dyDescent="0.2">
      <c r="A22" s="182"/>
      <c r="B22" s="75" t="s">
        <v>208</v>
      </c>
      <c r="C22" s="4">
        <v>0.01</v>
      </c>
      <c r="D22" s="185"/>
      <c r="E22" s="68">
        <f>SUM(E17*C22)</f>
        <v>3961.75</v>
      </c>
      <c r="F22" s="63">
        <f t="shared" si="4"/>
        <v>396.17500000000001</v>
      </c>
      <c r="G22" s="63">
        <f t="shared" si="5"/>
        <v>697.26800000000003</v>
      </c>
      <c r="H22" s="81">
        <f t="shared" si="6"/>
        <v>5055.1930000000002</v>
      </c>
      <c r="I22" s="98"/>
    </row>
    <row r="23" spans="1:9" ht="12.75" customHeight="1" x14ac:dyDescent="0.2">
      <c r="A23" s="182"/>
      <c r="B23" s="187" t="s">
        <v>209</v>
      </c>
      <c r="C23" s="188">
        <v>8.3299999999999999E-2</v>
      </c>
      <c r="D23" s="186"/>
      <c r="E23" s="189">
        <f>SUM(E17*C23)</f>
        <v>33001.377500000002</v>
      </c>
      <c r="F23" s="189">
        <f>SUM(E23*10%)</f>
        <v>3300.1377500000003</v>
      </c>
      <c r="G23" s="189">
        <f>SUM(E23:F24)*16%</f>
        <v>5808.2424400000009</v>
      </c>
      <c r="H23" s="204">
        <f>SUM(E23:G24)</f>
        <v>42109.757690000006</v>
      </c>
      <c r="I23" s="98"/>
    </row>
    <row r="24" spans="1:9" ht="12.75" customHeight="1" x14ac:dyDescent="0.2">
      <c r="A24" s="182"/>
      <c r="B24" s="187"/>
      <c r="C24" s="184"/>
      <c r="D24" s="186"/>
      <c r="E24" s="190"/>
      <c r="F24" s="190"/>
      <c r="G24" s="190"/>
      <c r="H24" s="205"/>
      <c r="I24" s="98"/>
    </row>
    <row r="25" spans="1:9" ht="12.75" customHeight="1" x14ac:dyDescent="0.2">
      <c r="A25" s="182"/>
      <c r="B25" s="187" t="s">
        <v>210</v>
      </c>
      <c r="C25" s="188">
        <v>4.1700000000000001E-2</v>
      </c>
      <c r="D25" s="186"/>
      <c r="E25" s="189">
        <f>SUM(E15*C25)</f>
        <v>13434.6975</v>
      </c>
      <c r="F25" s="189">
        <f>SUM(E25*10%)</f>
        <v>1343.4697500000002</v>
      </c>
      <c r="G25" s="189">
        <f>SUM(E25:F26)*16%</f>
        <v>2364.5067600000002</v>
      </c>
      <c r="H25" s="204">
        <f>SUM(E25:G26)</f>
        <v>17142.674010000002</v>
      </c>
      <c r="I25" s="98"/>
    </row>
    <row r="26" spans="1:9" ht="12.75" customHeight="1" x14ac:dyDescent="0.2">
      <c r="A26" s="182"/>
      <c r="B26" s="187"/>
      <c r="C26" s="184"/>
      <c r="D26" s="186"/>
      <c r="E26" s="198"/>
      <c r="F26" s="198"/>
      <c r="G26" s="198"/>
      <c r="H26" s="205"/>
      <c r="I26" s="98"/>
    </row>
    <row r="27" spans="1:9" ht="12.75" customHeight="1" x14ac:dyDescent="0.2">
      <c r="A27" s="183"/>
      <c r="B27" s="178" t="s">
        <v>3</v>
      </c>
      <c r="C27" s="179"/>
      <c r="D27" s="179"/>
      <c r="E27" s="180"/>
      <c r="F27" s="180"/>
      <c r="G27" s="181"/>
      <c r="H27" s="83">
        <f>SUM(H17:H26)*D15</f>
        <v>15004082.837084001</v>
      </c>
      <c r="I27" s="98"/>
    </row>
    <row r="28" spans="1:9" ht="24.75" customHeight="1" x14ac:dyDescent="0.2">
      <c r="A28" s="173" t="s">
        <v>19</v>
      </c>
      <c r="B28" s="172" t="s">
        <v>10</v>
      </c>
      <c r="C28" s="172"/>
      <c r="D28" s="170">
        <v>2</v>
      </c>
      <c r="E28" s="63">
        <v>322175</v>
      </c>
      <c r="F28" s="63"/>
      <c r="G28" s="63"/>
      <c r="H28" s="80"/>
      <c r="I28" s="98"/>
    </row>
    <row r="29" spans="1:9" ht="12.75" customHeight="1" x14ac:dyDescent="0.2">
      <c r="A29" s="174"/>
      <c r="B29" s="172" t="s">
        <v>11</v>
      </c>
      <c r="C29" s="172"/>
      <c r="D29" s="170"/>
      <c r="E29" s="63">
        <v>74000</v>
      </c>
      <c r="F29" s="63">
        <f>(E29*10%)</f>
        <v>7400</v>
      </c>
      <c r="G29" s="63">
        <v>0</v>
      </c>
      <c r="H29" s="80">
        <f>SUM(E29:G29)*D28</f>
        <v>162800</v>
      </c>
      <c r="I29" s="98"/>
    </row>
    <row r="30" spans="1:9" ht="24" customHeight="1" x14ac:dyDescent="0.2">
      <c r="A30" s="174"/>
      <c r="B30" s="172" t="s">
        <v>3</v>
      </c>
      <c r="C30" s="172"/>
      <c r="D30" s="170"/>
      <c r="E30" s="63">
        <f>SUM(E28:E29)</f>
        <v>396175</v>
      </c>
      <c r="F30" s="63">
        <f>SUM(E30*10%)</f>
        <v>39617.5</v>
      </c>
      <c r="G30" s="63">
        <v>0</v>
      </c>
      <c r="H30" s="81">
        <f>SUM(E30:G30)</f>
        <v>435792.5</v>
      </c>
      <c r="I30" s="98"/>
    </row>
    <row r="31" spans="1:9" ht="12.75" customHeight="1" x14ac:dyDescent="0.2">
      <c r="A31" s="174"/>
      <c r="B31" s="74" t="s">
        <v>12</v>
      </c>
      <c r="C31" s="4">
        <v>0.12</v>
      </c>
      <c r="D31" s="170"/>
      <c r="E31" s="63">
        <f>SUM(E28*C31)</f>
        <v>38661</v>
      </c>
      <c r="F31" s="63">
        <f t="shared" ref="F31:F35" si="7">SUM(E31*10%)</f>
        <v>3866.1000000000004</v>
      </c>
      <c r="G31" s="63">
        <v>0</v>
      </c>
      <c r="H31" s="81">
        <f>SUM(E31:G31)</f>
        <v>42527.1</v>
      </c>
      <c r="I31" s="98"/>
    </row>
    <row r="32" spans="1:9" ht="12.75" customHeight="1" x14ac:dyDescent="0.2">
      <c r="A32" s="174"/>
      <c r="B32" s="74" t="s">
        <v>13</v>
      </c>
      <c r="C32" s="4">
        <v>1.044E-2</v>
      </c>
      <c r="D32" s="170"/>
      <c r="E32" s="66">
        <f>SUM(E28*C32)</f>
        <v>3363.5070000000001</v>
      </c>
      <c r="F32" s="63">
        <f t="shared" si="7"/>
        <v>336.35070000000002</v>
      </c>
      <c r="G32" s="66">
        <v>0</v>
      </c>
      <c r="H32" s="84">
        <f>SUM(E32:G32)</f>
        <v>3699.8577</v>
      </c>
      <c r="I32" s="99"/>
    </row>
    <row r="33" spans="1:9" ht="24" customHeight="1" x14ac:dyDescent="0.2">
      <c r="A33" s="174"/>
      <c r="B33" s="74" t="s">
        <v>14</v>
      </c>
      <c r="C33" s="4">
        <v>0.04</v>
      </c>
      <c r="D33" s="170"/>
      <c r="E33" s="63">
        <f>SUM(E28*C33)</f>
        <v>12887</v>
      </c>
      <c r="F33" s="63">
        <f t="shared" si="7"/>
        <v>1288.7</v>
      </c>
      <c r="G33" s="69">
        <v>0</v>
      </c>
      <c r="H33" s="84">
        <f>SUM(E33:G33)</f>
        <v>14175.7</v>
      </c>
      <c r="I33" s="98"/>
    </row>
    <row r="34" spans="1:9" ht="12.75" customHeight="1" x14ac:dyDescent="0.2">
      <c r="A34" s="174"/>
      <c r="B34" s="74" t="s">
        <v>15</v>
      </c>
      <c r="C34" s="38">
        <v>8.3299999999999999E-2</v>
      </c>
      <c r="D34" s="170"/>
      <c r="E34" s="67">
        <f>SUM(E30*C34)</f>
        <v>33001.377500000002</v>
      </c>
      <c r="F34" s="63">
        <f t="shared" si="7"/>
        <v>3300.1377500000003</v>
      </c>
      <c r="G34" s="70">
        <v>0</v>
      </c>
      <c r="H34" s="84">
        <f t="shared" ref="H34:H38" si="8">SUM(E34:G34)</f>
        <v>36301.515250000004</v>
      </c>
      <c r="I34" s="100"/>
    </row>
    <row r="35" spans="1:9" ht="24" customHeight="1" x14ac:dyDescent="0.2">
      <c r="A35" s="174"/>
      <c r="B35" s="74" t="s">
        <v>16</v>
      </c>
      <c r="C35" s="4">
        <v>0.01</v>
      </c>
      <c r="D35" s="170"/>
      <c r="E35" s="68">
        <f>SUM(E30*C35)</f>
        <v>3961.75</v>
      </c>
      <c r="F35" s="63">
        <f t="shared" si="7"/>
        <v>396.17500000000001</v>
      </c>
      <c r="G35" s="71">
        <v>0</v>
      </c>
      <c r="H35" s="85">
        <f t="shared" si="8"/>
        <v>4357.9250000000002</v>
      </c>
      <c r="I35" s="100"/>
    </row>
    <row r="36" spans="1:9" ht="12.75" customHeight="1" x14ac:dyDescent="0.2">
      <c r="A36" s="174"/>
      <c r="B36" s="171" t="s">
        <v>17</v>
      </c>
      <c r="C36" s="188">
        <v>8.3299999999999999E-2</v>
      </c>
      <c r="D36" s="177"/>
      <c r="E36" s="189">
        <f>SUM(E30*C36)</f>
        <v>33001.377500000002</v>
      </c>
      <c r="F36" s="189">
        <f>SUM(E36*10%)</f>
        <v>3300.1377500000003</v>
      </c>
      <c r="G36" s="189">
        <v>0</v>
      </c>
      <c r="H36" s="210">
        <f t="shared" si="8"/>
        <v>36301.515250000004</v>
      </c>
      <c r="I36" s="101"/>
    </row>
    <row r="37" spans="1:9" ht="12.75" customHeight="1" x14ac:dyDescent="0.2">
      <c r="A37" s="174"/>
      <c r="B37" s="171"/>
      <c r="C37" s="184"/>
      <c r="D37" s="177"/>
      <c r="E37" s="198"/>
      <c r="F37" s="198"/>
      <c r="G37" s="198"/>
      <c r="H37" s="211"/>
      <c r="I37" s="101"/>
    </row>
    <row r="38" spans="1:9" ht="12.75" customHeight="1" x14ac:dyDescent="0.2">
      <c r="A38" s="174"/>
      <c r="B38" s="171" t="s">
        <v>18</v>
      </c>
      <c r="C38" s="188">
        <v>4.1700000000000001E-2</v>
      </c>
      <c r="D38" s="177"/>
      <c r="E38" s="189">
        <f>SUM(E28*C38)</f>
        <v>13434.6975</v>
      </c>
      <c r="F38" s="189">
        <f>SUM(E38*10%)</f>
        <v>1343.4697500000002</v>
      </c>
      <c r="G38" s="189">
        <v>0</v>
      </c>
      <c r="H38" s="212">
        <f t="shared" si="8"/>
        <v>14778.16725</v>
      </c>
      <c r="I38" s="101"/>
    </row>
    <row r="39" spans="1:9" ht="12.75" customHeight="1" x14ac:dyDescent="0.2">
      <c r="A39" s="174"/>
      <c r="B39" s="171"/>
      <c r="C39" s="184"/>
      <c r="D39" s="177"/>
      <c r="E39" s="198"/>
      <c r="F39" s="198"/>
      <c r="G39" s="198"/>
      <c r="H39" s="211"/>
      <c r="I39" s="101"/>
    </row>
    <row r="40" spans="1:9" ht="30" customHeight="1" x14ac:dyDescent="0.2">
      <c r="A40" s="175"/>
      <c r="B40" s="178" t="s">
        <v>3</v>
      </c>
      <c r="C40" s="179"/>
      <c r="D40" s="179"/>
      <c r="E40" s="180"/>
      <c r="F40" s="180"/>
      <c r="G40" s="181"/>
      <c r="H40" s="86">
        <f>SUM(H29:H39)*D28</f>
        <v>1501468.5609000004</v>
      </c>
      <c r="I40" s="103" t="s">
        <v>213</v>
      </c>
    </row>
    <row r="41" spans="1:9" ht="12.75" customHeight="1" x14ac:dyDescent="0.2">
      <c r="A41" s="192" t="s">
        <v>1</v>
      </c>
      <c r="B41" s="172" t="s">
        <v>10</v>
      </c>
      <c r="C41" s="172"/>
      <c r="D41" s="193">
        <v>1</v>
      </c>
      <c r="E41" s="64">
        <v>1000000</v>
      </c>
      <c r="F41" s="64"/>
      <c r="G41" s="64"/>
      <c r="H41" s="79"/>
      <c r="I41" s="101"/>
    </row>
    <row r="42" spans="1:9" ht="12.75" customHeight="1" x14ac:dyDescent="0.2">
      <c r="A42" s="192"/>
      <c r="B42" s="172" t="s">
        <v>11</v>
      </c>
      <c r="C42" s="172"/>
      <c r="D42" s="194"/>
      <c r="E42" s="64">
        <v>74000</v>
      </c>
      <c r="F42" s="63">
        <f>SUM(E42*10%)</f>
        <v>7400</v>
      </c>
      <c r="G42" s="63">
        <f>SUM(E42:F42)*16%</f>
        <v>13024</v>
      </c>
      <c r="H42" s="80">
        <f>SUM(E42:G42)*D41</f>
        <v>94424</v>
      </c>
      <c r="I42" s="101"/>
    </row>
    <row r="43" spans="1:9" ht="12.75" customHeight="1" x14ac:dyDescent="0.2">
      <c r="A43" s="192"/>
      <c r="B43" s="172" t="s">
        <v>3</v>
      </c>
      <c r="C43" s="172"/>
      <c r="D43" s="194"/>
      <c r="E43" s="64">
        <f>SUM(E41:E42)</f>
        <v>1074000</v>
      </c>
      <c r="F43" s="64">
        <f>SUM(E43*10%)</f>
        <v>107400</v>
      </c>
      <c r="G43" s="64">
        <f>SUM(E43:F43)*16%</f>
        <v>189024</v>
      </c>
      <c r="H43" s="79">
        <f>SUM(E43:G43)</f>
        <v>1370424</v>
      </c>
      <c r="I43" s="101"/>
    </row>
    <row r="44" spans="1:9" ht="12.75" customHeight="1" x14ac:dyDescent="0.2">
      <c r="A44" s="192"/>
      <c r="B44" s="74" t="s">
        <v>12</v>
      </c>
      <c r="C44" s="4">
        <v>0.12</v>
      </c>
      <c r="D44" s="194"/>
      <c r="E44" s="64">
        <f>SUM(E41*C44)</f>
        <v>120000</v>
      </c>
      <c r="F44" s="64">
        <f t="shared" ref="F44:F48" si="9">SUM(E44*10%)</f>
        <v>12000</v>
      </c>
      <c r="G44" s="64">
        <f t="shared" ref="G44:G48" si="10">SUM(E44:F44)*16%</f>
        <v>21120</v>
      </c>
      <c r="H44" s="79">
        <f t="shared" ref="H44:H48" si="11">SUM(E44:G44)</f>
        <v>153120</v>
      </c>
      <c r="I44" s="101"/>
    </row>
    <row r="45" spans="1:9" ht="12.75" customHeight="1" x14ac:dyDescent="0.2">
      <c r="A45" s="192"/>
      <c r="B45" s="74" t="s">
        <v>13</v>
      </c>
      <c r="C45" s="4">
        <v>1.044E-2</v>
      </c>
      <c r="D45" s="194"/>
      <c r="E45" s="64">
        <f>SUM(E41*C45)</f>
        <v>10440</v>
      </c>
      <c r="F45" s="64">
        <f t="shared" si="9"/>
        <v>1044</v>
      </c>
      <c r="G45" s="64">
        <f t="shared" si="10"/>
        <v>1837.44</v>
      </c>
      <c r="H45" s="79">
        <f t="shared" si="11"/>
        <v>13321.44</v>
      </c>
      <c r="I45" s="101"/>
    </row>
    <row r="46" spans="1:9" ht="24" customHeight="1" x14ac:dyDescent="0.2">
      <c r="A46" s="192"/>
      <c r="B46" s="74" t="s">
        <v>14</v>
      </c>
      <c r="C46" s="4">
        <v>0.04</v>
      </c>
      <c r="D46" s="194"/>
      <c r="E46" s="64">
        <f>SUM(E41*C46)</f>
        <v>40000</v>
      </c>
      <c r="F46" s="64">
        <f t="shared" si="9"/>
        <v>4000</v>
      </c>
      <c r="G46" s="64">
        <f t="shared" si="10"/>
        <v>7040</v>
      </c>
      <c r="H46" s="79">
        <f t="shared" si="11"/>
        <v>51040</v>
      </c>
      <c r="I46" s="101"/>
    </row>
    <row r="47" spans="1:9" ht="12.75" customHeight="1" x14ac:dyDescent="0.2">
      <c r="A47" s="192"/>
      <c r="B47" s="74" t="s">
        <v>15</v>
      </c>
      <c r="C47" s="38">
        <v>8.3299999999999999E-2</v>
      </c>
      <c r="D47" s="194"/>
      <c r="E47" s="64">
        <f>SUM(E43*C47)</f>
        <v>89464.2</v>
      </c>
      <c r="F47" s="64">
        <f t="shared" si="9"/>
        <v>8946.42</v>
      </c>
      <c r="G47" s="64">
        <f t="shared" si="10"/>
        <v>15745.699199999999</v>
      </c>
      <c r="H47" s="79">
        <f t="shared" si="11"/>
        <v>114156.3192</v>
      </c>
      <c r="I47" s="101"/>
    </row>
    <row r="48" spans="1:9" ht="12.75" customHeight="1" x14ac:dyDescent="0.2">
      <c r="A48" s="192"/>
      <c r="B48" s="74" t="s">
        <v>16</v>
      </c>
      <c r="C48" s="4">
        <v>0.01</v>
      </c>
      <c r="D48" s="194"/>
      <c r="E48" s="72">
        <f>SUM(E43*C48)</f>
        <v>10740</v>
      </c>
      <c r="F48" s="64">
        <f t="shared" si="9"/>
        <v>1074</v>
      </c>
      <c r="G48" s="64">
        <f t="shared" si="10"/>
        <v>1890.24</v>
      </c>
      <c r="H48" s="79">
        <f t="shared" si="11"/>
        <v>13704.24</v>
      </c>
      <c r="I48" s="101"/>
    </row>
    <row r="49" spans="1:9" ht="12.75" customHeight="1" x14ac:dyDescent="0.2">
      <c r="A49" s="192"/>
      <c r="B49" s="171" t="s">
        <v>17</v>
      </c>
      <c r="C49" s="188">
        <v>8.3299999999999999E-2</v>
      </c>
      <c r="D49" s="195"/>
      <c r="E49" s="189">
        <f>SUM(E43*C49)</f>
        <v>89464.2</v>
      </c>
      <c r="F49" s="189">
        <f>SUM(E49*10%)</f>
        <v>8946.42</v>
      </c>
      <c r="G49" s="189">
        <f>SUM(E49:F50)*16%</f>
        <v>15745.699199999999</v>
      </c>
      <c r="H49" s="206">
        <f>SUM(E49:G50)</f>
        <v>114156.3192</v>
      </c>
      <c r="I49" s="101"/>
    </row>
    <row r="50" spans="1:9" ht="12.75" customHeight="1" x14ac:dyDescent="0.2">
      <c r="A50" s="192"/>
      <c r="B50" s="171"/>
      <c r="C50" s="184"/>
      <c r="D50" s="195"/>
      <c r="E50" s="198"/>
      <c r="F50" s="198"/>
      <c r="G50" s="198"/>
      <c r="H50" s="207"/>
      <c r="I50" s="101"/>
    </row>
    <row r="51" spans="1:9" ht="30.75" customHeight="1" x14ac:dyDescent="0.2">
      <c r="A51" s="192"/>
      <c r="B51" s="76" t="s">
        <v>18</v>
      </c>
      <c r="C51" s="38">
        <v>4.1700000000000001E-2</v>
      </c>
      <c r="D51" s="194"/>
      <c r="E51" s="73">
        <f>SUM(E41*C51)</f>
        <v>41700</v>
      </c>
      <c r="F51" s="73">
        <f>SUM(E51*10%)</f>
        <v>4170</v>
      </c>
      <c r="G51" s="73">
        <f>SUM(E51:F51)*16%</f>
        <v>7339.2</v>
      </c>
      <c r="H51" s="87">
        <f>SUM(E51:G51)</f>
        <v>53209.2</v>
      </c>
      <c r="I51" s="101"/>
    </row>
    <row r="52" spans="1:9" ht="12.75" customHeight="1" x14ac:dyDescent="0.2">
      <c r="A52" s="192"/>
      <c r="B52" s="178" t="s">
        <v>7</v>
      </c>
      <c r="C52" s="179"/>
      <c r="D52" s="179"/>
      <c r="E52" s="179"/>
      <c r="F52" s="179"/>
      <c r="G52" s="197"/>
      <c r="H52" s="88">
        <f>SUM(H43:H51)*D41</f>
        <v>1883131.5183999999</v>
      </c>
      <c r="I52" s="101"/>
    </row>
    <row r="53" spans="1:9" ht="16.5" customHeight="1" x14ac:dyDescent="0.2">
      <c r="A53" s="191" t="s">
        <v>8</v>
      </c>
      <c r="B53" s="172" t="s">
        <v>10</v>
      </c>
      <c r="C53" s="172"/>
      <c r="D53" s="193">
        <v>1</v>
      </c>
      <c r="E53" s="64">
        <v>900000</v>
      </c>
      <c r="F53" s="64"/>
      <c r="G53" s="64"/>
      <c r="H53" s="79"/>
      <c r="I53" s="101"/>
    </row>
    <row r="54" spans="1:9" ht="12.75" customHeight="1" x14ac:dyDescent="0.2">
      <c r="A54" s="191"/>
      <c r="B54" s="172" t="s">
        <v>11</v>
      </c>
      <c r="C54" s="172"/>
      <c r="D54" s="194"/>
      <c r="E54" s="64">
        <v>74000</v>
      </c>
      <c r="F54" s="63">
        <f>SUM(E54*10%)</f>
        <v>7400</v>
      </c>
      <c r="G54" s="63">
        <f>SUM(E54:F54)*16%</f>
        <v>13024</v>
      </c>
      <c r="H54" s="80">
        <f>SUM(E54:G54)*D53</f>
        <v>94424</v>
      </c>
      <c r="I54" s="101"/>
    </row>
    <row r="55" spans="1:9" ht="15" customHeight="1" x14ac:dyDescent="0.2">
      <c r="A55" s="191"/>
      <c r="B55" s="172" t="s">
        <v>3</v>
      </c>
      <c r="C55" s="172"/>
      <c r="D55" s="194"/>
      <c r="E55" s="64">
        <f>SUM(E53:E54)</f>
        <v>974000</v>
      </c>
      <c r="F55" s="64">
        <f>SUM(E55*10%)</f>
        <v>97400</v>
      </c>
      <c r="G55" s="64">
        <f>SUM(E55:F55)*16%</f>
        <v>171424</v>
      </c>
      <c r="H55" s="79">
        <f>SUM(E55:G55)</f>
        <v>1242824</v>
      </c>
      <c r="I55" s="101"/>
    </row>
    <row r="56" spans="1:9" ht="12.75" customHeight="1" x14ac:dyDescent="0.2">
      <c r="A56" s="191"/>
      <c r="B56" s="74" t="s">
        <v>12</v>
      </c>
      <c r="C56" s="4">
        <v>0.12</v>
      </c>
      <c r="D56" s="194"/>
      <c r="E56" s="64">
        <f>SUM(E53*C56)</f>
        <v>108000</v>
      </c>
      <c r="F56" s="64">
        <f t="shared" ref="F56:F59" si="12">SUM(E56*10%)</f>
        <v>10800</v>
      </c>
      <c r="G56" s="64">
        <f t="shared" ref="G56:G60" si="13">SUM(E56:F56)*16%</f>
        <v>19008</v>
      </c>
      <c r="H56" s="79">
        <f t="shared" ref="H56:H60" si="14">SUM(E56:G56)</f>
        <v>137808</v>
      </c>
      <c r="I56" s="101"/>
    </row>
    <row r="57" spans="1:9" ht="12.75" customHeight="1" x14ac:dyDescent="0.2">
      <c r="A57" s="191"/>
      <c r="B57" s="74" t="s">
        <v>13</v>
      </c>
      <c r="C57" s="4">
        <v>1.044E-2</v>
      </c>
      <c r="D57" s="194"/>
      <c r="E57" s="64">
        <f>SUM(E53*C57)</f>
        <v>9396</v>
      </c>
      <c r="F57" s="64">
        <f t="shared" si="12"/>
        <v>939.6</v>
      </c>
      <c r="G57" s="64">
        <f t="shared" si="13"/>
        <v>1653.6960000000001</v>
      </c>
      <c r="H57" s="79">
        <f t="shared" si="14"/>
        <v>11989.296</v>
      </c>
      <c r="I57" s="101"/>
    </row>
    <row r="58" spans="1:9" ht="25.5" x14ac:dyDescent="0.2">
      <c r="A58" s="191"/>
      <c r="B58" s="74" t="s">
        <v>14</v>
      </c>
      <c r="C58" s="4">
        <v>0.04</v>
      </c>
      <c r="D58" s="194"/>
      <c r="E58" s="64">
        <f>SUM(E53*C58)</f>
        <v>36000</v>
      </c>
      <c r="F58" s="64">
        <f t="shared" si="12"/>
        <v>3600</v>
      </c>
      <c r="G58" s="64">
        <f t="shared" si="13"/>
        <v>6336</v>
      </c>
      <c r="H58" s="79">
        <f t="shared" si="14"/>
        <v>45936</v>
      </c>
      <c r="I58" s="101"/>
    </row>
    <row r="59" spans="1:9" ht="12.75" customHeight="1" x14ac:dyDescent="0.2">
      <c r="A59" s="191"/>
      <c r="B59" s="74" t="s">
        <v>15</v>
      </c>
      <c r="C59" s="38">
        <v>8.3299999999999999E-2</v>
      </c>
      <c r="D59" s="194"/>
      <c r="E59" s="64">
        <f>SUM(E55*C59)</f>
        <v>81134.2</v>
      </c>
      <c r="F59" s="64">
        <f t="shared" si="12"/>
        <v>8113.42</v>
      </c>
      <c r="G59" s="64">
        <f t="shared" si="13"/>
        <v>14279.619199999999</v>
      </c>
      <c r="H59" s="79">
        <f t="shared" si="14"/>
        <v>103527.2392</v>
      </c>
      <c r="I59" s="101"/>
    </row>
    <row r="60" spans="1:9" ht="30" customHeight="1" x14ac:dyDescent="0.2">
      <c r="A60" s="191"/>
      <c r="B60" s="74" t="s">
        <v>16</v>
      </c>
      <c r="C60" s="4">
        <v>0.01</v>
      </c>
      <c r="D60" s="194"/>
      <c r="E60" s="72">
        <f>SUM(E55*C60)</f>
        <v>9740</v>
      </c>
      <c r="F60" s="64">
        <f>SUM(E60*10%)</f>
        <v>974</v>
      </c>
      <c r="G60" s="64">
        <f t="shared" si="13"/>
        <v>1714.24</v>
      </c>
      <c r="H60" s="79">
        <f t="shared" si="14"/>
        <v>12428.24</v>
      </c>
      <c r="I60" s="101"/>
    </row>
    <row r="61" spans="1:9" ht="12.75" customHeight="1" x14ac:dyDescent="0.2">
      <c r="A61" s="191"/>
      <c r="B61" s="171" t="s">
        <v>17</v>
      </c>
      <c r="C61" s="188">
        <v>8.3299999999999999E-2</v>
      </c>
      <c r="D61" s="195"/>
      <c r="E61" s="189">
        <f>SUM(E55*C61)</f>
        <v>81134.2</v>
      </c>
      <c r="F61" s="189">
        <f>SUM(E61*10%)</f>
        <v>8113.42</v>
      </c>
      <c r="G61" s="189">
        <f>SUM(E61:F62)*16%</f>
        <v>14279.619199999999</v>
      </c>
      <c r="H61" s="206">
        <f>SUM(E61:G62)</f>
        <v>103527.2392</v>
      </c>
      <c r="I61" s="101"/>
    </row>
    <row r="62" spans="1:9" ht="12.75" customHeight="1" x14ac:dyDescent="0.2">
      <c r="A62" s="191"/>
      <c r="B62" s="171"/>
      <c r="C62" s="184"/>
      <c r="D62" s="195"/>
      <c r="E62" s="198"/>
      <c r="F62" s="198"/>
      <c r="G62" s="198"/>
      <c r="H62" s="207"/>
      <c r="I62" s="101"/>
    </row>
    <row r="63" spans="1:9" ht="12.75" customHeight="1" x14ac:dyDescent="0.2">
      <c r="A63" s="191"/>
      <c r="B63" s="171" t="s">
        <v>18</v>
      </c>
      <c r="C63" s="188">
        <v>4.1700000000000001E-2</v>
      </c>
      <c r="D63" s="195"/>
      <c r="E63" s="189">
        <f>SUM(E53*C63)</f>
        <v>37530</v>
      </c>
      <c r="F63" s="189">
        <f>SUM(E63*10%)</f>
        <v>3753</v>
      </c>
      <c r="G63" s="189">
        <f>SUM(E63:F64)*16%</f>
        <v>6605.28</v>
      </c>
      <c r="H63" s="206">
        <f>SUM(E63:G64)</f>
        <v>47888.28</v>
      </c>
      <c r="I63" s="101"/>
    </row>
    <row r="64" spans="1:9" ht="12.75" customHeight="1" x14ac:dyDescent="0.2">
      <c r="A64" s="191"/>
      <c r="B64" s="171"/>
      <c r="C64" s="184"/>
      <c r="D64" s="196"/>
      <c r="E64" s="198"/>
      <c r="F64" s="198"/>
      <c r="G64" s="198"/>
      <c r="H64" s="207"/>
      <c r="I64" s="101"/>
    </row>
    <row r="65" spans="1:9" ht="12.75" customHeight="1" x14ac:dyDescent="0.2">
      <c r="A65" s="191"/>
      <c r="B65" s="178" t="s">
        <v>7</v>
      </c>
      <c r="C65" s="179"/>
      <c r="D65" s="179"/>
      <c r="E65" s="180"/>
      <c r="F65" s="180"/>
      <c r="G65" s="181"/>
      <c r="H65" s="83">
        <f>SUM(H55:H64)*D53</f>
        <v>1705928.2944</v>
      </c>
      <c r="I65" s="101"/>
    </row>
    <row r="66" spans="1:9" ht="12.75" customHeight="1" x14ac:dyDescent="0.2">
      <c r="A66" s="191" t="s">
        <v>9</v>
      </c>
      <c r="B66" s="172" t="s">
        <v>10</v>
      </c>
      <c r="C66" s="172"/>
      <c r="D66" s="193">
        <v>1</v>
      </c>
      <c r="E66" s="64">
        <v>750000</v>
      </c>
      <c r="F66" s="39"/>
      <c r="G66" s="39"/>
      <c r="H66" s="89"/>
      <c r="I66" s="101"/>
    </row>
    <row r="67" spans="1:9" ht="12.75" customHeight="1" x14ac:dyDescent="0.2">
      <c r="A67" s="191"/>
      <c r="B67" s="172" t="s">
        <v>11</v>
      </c>
      <c r="C67" s="172"/>
      <c r="D67" s="194"/>
      <c r="E67" s="64">
        <v>74000</v>
      </c>
      <c r="F67" s="63">
        <f>SUM(E67*10%)</f>
        <v>7400</v>
      </c>
      <c r="G67" s="63">
        <f>SUM(E67:F67)*16%</f>
        <v>13024</v>
      </c>
      <c r="H67" s="80">
        <f>SUM(E67:G67)*D66</f>
        <v>94424</v>
      </c>
      <c r="I67" s="101"/>
    </row>
    <row r="68" spans="1:9" ht="12.75" customHeight="1" x14ac:dyDescent="0.2">
      <c r="A68" s="191"/>
      <c r="B68" s="172" t="s">
        <v>3</v>
      </c>
      <c r="C68" s="172"/>
      <c r="D68" s="194"/>
      <c r="E68" s="64">
        <f>SUM(E66:E67)</f>
        <v>824000</v>
      </c>
      <c r="F68" s="64">
        <f>SUM(E68*10%)</f>
        <v>82400</v>
      </c>
      <c r="G68" s="64">
        <f>SUM(E68:F68)*16%</f>
        <v>145024</v>
      </c>
      <c r="H68" s="79">
        <f>SUM(E68:G68)</f>
        <v>1051424</v>
      </c>
      <c r="I68" s="101"/>
    </row>
    <row r="69" spans="1:9" ht="12.75" customHeight="1" x14ac:dyDescent="0.2">
      <c r="A69" s="191"/>
      <c r="B69" s="74" t="s">
        <v>12</v>
      </c>
      <c r="C69" s="4">
        <v>0.12</v>
      </c>
      <c r="D69" s="194"/>
      <c r="E69" s="64">
        <f>SUM(E66*C69)</f>
        <v>90000</v>
      </c>
      <c r="F69" s="64">
        <f t="shared" ref="F69:F73" si="15">SUM(E69*10%)</f>
        <v>9000</v>
      </c>
      <c r="G69" s="64">
        <f t="shared" ref="G69:G73" si="16">SUM(E69:F69)*16%</f>
        <v>15840</v>
      </c>
      <c r="H69" s="79">
        <f t="shared" ref="H69:H73" si="17">SUM(E69:G69)</f>
        <v>114840</v>
      </c>
      <c r="I69" s="101"/>
    </row>
    <row r="70" spans="1:9" ht="12.75" customHeight="1" x14ac:dyDescent="0.2">
      <c r="A70" s="191"/>
      <c r="B70" s="74" t="s">
        <v>13</v>
      </c>
      <c r="C70" s="4">
        <v>1.044E-2</v>
      </c>
      <c r="D70" s="194"/>
      <c r="E70" s="64">
        <f>SUM(E66*C70)</f>
        <v>7830</v>
      </c>
      <c r="F70" s="64">
        <f t="shared" si="15"/>
        <v>783</v>
      </c>
      <c r="G70" s="64">
        <f t="shared" si="16"/>
        <v>1378.08</v>
      </c>
      <c r="H70" s="79">
        <f t="shared" si="17"/>
        <v>9991.08</v>
      </c>
      <c r="I70" s="101"/>
    </row>
    <row r="71" spans="1:9" ht="25.5" x14ac:dyDescent="0.2">
      <c r="A71" s="191"/>
      <c r="B71" s="74" t="s">
        <v>14</v>
      </c>
      <c r="C71" s="4">
        <v>0.04</v>
      </c>
      <c r="D71" s="194"/>
      <c r="E71" s="64">
        <f>SUM(E66*C71)</f>
        <v>30000</v>
      </c>
      <c r="F71" s="64">
        <f t="shared" si="15"/>
        <v>3000</v>
      </c>
      <c r="G71" s="64">
        <f t="shared" si="16"/>
        <v>5280</v>
      </c>
      <c r="H71" s="79">
        <f t="shared" si="17"/>
        <v>38280</v>
      </c>
      <c r="I71" s="101"/>
    </row>
    <row r="72" spans="1:9" ht="12.75" customHeight="1" x14ac:dyDescent="0.2">
      <c r="A72" s="191"/>
      <c r="B72" s="74" t="s">
        <v>15</v>
      </c>
      <c r="C72" s="38">
        <v>8.3299999999999999E-2</v>
      </c>
      <c r="D72" s="194"/>
      <c r="E72" s="64">
        <f>SUM(E68*C72)</f>
        <v>68639.199999999997</v>
      </c>
      <c r="F72" s="64">
        <f t="shared" si="15"/>
        <v>6863.92</v>
      </c>
      <c r="G72" s="64">
        <f t="shared" si="16"/>
        <v>12080.4992</v>
      </c>
      <c r="H72" s="79">
        <f t="shared" si="17"/>
        <v>87583.619200000001</v>
      </c>
      <c r="I72" s="101"/>
    </row>
    <row r="73" spans="1:9" ht="12.75" customHeight="1" x14ac:dyDescent="0.2">
      <c r="A73" s="191"/>
      <c r="B73" s="74" t="s">
        <v>16</v>
      </c>
      <c r="C73" s="4">
        <v>0.01</v>
      </c>
      <c r="D73" s="194"/>
      <c r="E73" s="72">
        <f>SUM(E68*C73)</f>
        <v>8240</v>
      </c>
      <c r="F73" s="64">
        <f t="shared" si="15"/>
        <v>824</v>
      </c>
      <c r="G73" s="64">
        <f t="shared" si="16"/>
        <v>1450.24</v>
      </c>
      <c r="H73" s="79">
        <f t="shared" si="17"/>
        <v>10514.24</v>
      </c>
      <c r="I73" s="101"/>
    </row>
    <row r="74" spans="1:9" ht="12.75" customHeight="1" x14ac:dyDescent="0.2">
      <c r="A74" s="191"/>
      <c r="B74" s="171" t="s">
        <v>17</v>
      </c>
      <c r="C74" s="188">
        <v>8.3299999999999999E-2</v>
      </c>
      <c r="D74" s="195"/>
      <c r="E74" s="189">
        <f>SUM(E68*C74)</f>
        <v>68639.199999999997</v>
      </c>
      <c r="F74" s="189">
        <f>SUM(E74*10%)</f>
        <v>6863.92</v>
      </c>
      <c r="G74" s="189">
        <f>SUM(E74:F75)*16%</f>
        <v>12080.4992</v>
      </c>
      <c r="H74" s="206">
        <f>SUM(E74:G75)</f>
        <v>87583.619200000001</v>
      </c>
      <c r="I74" s="101"/>
    </row>
    <row r="75" spans="1:9" ht="12.75" customHeight="1" x14ac:dyDescent="0.2">
      <c r="A75" s="191"/>
      <c r="B75" s="171"/>
      <c r="C75" s="184"/>
      <c r="D75" s="195"/>
      <c r="E75" s="198"/>
      <c r="F75" s="198"/>
      <c r="G75" s="198"/>
      <c r="H75" s="207"/>
      <c r="I75" s="101"/>
    </row>
    <row r="76" spans="1:9" ht="12.75" customHeight="1" x14ac:dyDescent="0.2">
      <c r="A76" s="191"/>
      <c r="B76" s="171" t="s">
        <v>18</v>
      </c>
      <c r="C76" s="188">
        <v>4.1700000000000001E-2</v>
      </c>
      <c r="D76" s="195"/>
      <c r="E76" s="189">
        <f>SUM(E66*C76)</f>
        <v>31275</v>
      </c>
      <c r="F76" s="208">
        <f>SUM(E76*10%)</f>
        <v>3127.5</v>
      </c>
      <c r="G76" s="189">
        <f>SUM(E76:F77)*16%</f>
        <v>5504.4000000000005</v>
      </c>
      <c r="H76" s="206">
        <f>SUM(E76:G77)</f>
        <v>39906.9</v>
      </c>
      <c r="I76" s="101"/>
    </row>
    <row r="77" spans="1:9" ht="12.75" customHeight="1" x14ac:dyDescent="0.2">
      <c r="A77" s="191"/>
      <c r="B77" s="171"/>
      <c r="C77" s="184"/>
      <c r="D77" s="196"/>
      <c r="E77" s="198"/>
      <c r="F77" s="209"/>
      <c r="G77" s="198"/>
      <c r="H77" s="207"/>
      <c r="I77" s="101"/>
    </row>
    <row r="78" spans="1:9" ht="12.75" customHeight="1" x14ac:dyDescent="0.2">
      <c r="A78" s="191"/>
      <c r="B78" s="178" t="s">
        <v>7</v>
      </c>
      <c r="C78" s="179"/>
      <c r="D78" s="179"/>
      <c r="E78" s="180"/>
      <c r="F78" s="180"/>
      <c r="G78" s="181"/>
      <c r="H78" s="83">
        <f>SUM(H68:H77)*D66</f>
        <v>1440123.4584000001</v>
      </c>
      <c r="I78" s="101"/>
    </row>
    <row r="79" spans="1:9" ht="34.5" customHeight="1" x14ac:dyDescent="0.2">
      <c r="B79" s="199" t="s">
        <v>24</v>
      </c>
      <c r="C79" s="199"/>
      <c r="D79" s="199"/>
      <c r="E79" s="199"/>
      <c r="F79" s="199"/>
      <c r="G79" s="199"/>
      <c r="H79" s="90">
        <f>SUM(H5+H16+H29+H42+H54+H67)*8</f>
        <v>32273472</v>
      </c>
      <c r="I79" s="101"/>
    </row>
    <row r="80" spans="1:9" ht="39" customHeight="1" x14ac:dyDescent="0.2">
      <c r="B80" s="199" t="s">
        <v>223</v>
      </c>
      <c r="C80" s="199"/>
      <c r="D80" s="199"/>
      <c r="E80" s="199"/>
      <c r="F80" s="199"/>
      <c r="G80" s="199"/>
      <c r="H80" s="90">
        <f>SUM((H14+H27+H40+H52+H65+H78)-(H67*43))*8</f>
        <v>300168277.64070404</v>
      </c>
      <c r="I80" s="101"/>
    </row>
    <row r="81" spans="1:10" ht="39" customHeight="1" x14ac:dyDescent="0.2">
      <c r="B81" s="199" t="s">
        <v>222</v>
      </c>
      <c r="C81" s="199"/>
      <c r="D81" s="199"/>
      <c r="E81" s="199"/>
      <c r="F81" s="199"/>
      <c r="G81" s="199"/>
      <c r="H81" s="90">
        <v>10538414</v>
      </c>
      <c r="I81" s="101"/>
    </row>
    <row r="82" spans="1:10" ht="33.75" customHeight="1" x14ac:dyDescent="0.2">
      <c r="B82" s="199" t="s">
        <v>23</v>
      </c>
      <c r="C82" s="199"/>
      <c r="D82" s="199"/>
      <c r="E82" s="199"/>
      <c r="F82" s="199"/>
      <c r="G82" s="199"/>
      <c r="H82" s="90">
        <f>SUM((((H79*2.77%))+H79)/8)*12</f>
        <v>49751170.761600003</v>
      </c>
      <c r="I82" s="101"/>
    </row>
    <row r="83" spans="1:10" ht="57" customHeight="1" x14ac:dyDescent="0.2">
      <c r="B83" s="199" t="s">
        <v>22</v>
      </c>
      <c r="C83" s="199"/>
      <c r="D83" s="199"/>
      <c r="E83" s="199"/>
      <c r="F83" s="199"/>
      <c r="G83" s="199"/>
      <c r="H83" s="90">
        <f>SUM((H14+H27+H40+H52+H65+H78)-(H54*43))*12</f>
        <v>450252416.46105605</v>
      </c>
      <c r="I83" s="101"/>
    </row>
    <row r="84" spans="1:10" ht="57" customHeight="1" x14ac:dyDescent="0.2">
      <c r="B84" s="199" t="s">
        <v>197</v>
      </c>
      <c r="C84" s="199"/>
      <c r="D84" s="199"/>
      <c r="E84" s="199"/>
      <c r="F84" s="199"/>
      <c r="G84" s="199"/>
      <c r="H84" s="90">
        <f>SUM(((H81*3.66%)+H81)/8)*12</f>
        <v>16386179.928600002</v>
      </c>
      <c r="I84" s="101"/>
    </row>
    <row r="85" spans="1:10" ht="32.25" customHeight="1" x14ac:dyDescent="0.2">
      <c r="B85" s="199" t="s">
        <v>20</v>
      </c>
      <c r="C85" s="199"/>
      <c r="D85" s="199"/>
      <c r="E85" s="199"/>
      <c r="F85" s="199"/>
      <c r="G85" s="199"/>
      <c r="H85" s="90">
        <f>SUM((((H82*2.77%))+H82)/8)*12/4</f>
        <v>19173479.321886122</v>
      </c>
      <c r="I85" s="101"/>
    </row>
    <row r="86" spans="1:10" ht="26.25" customHeight="1" x14ac:dyDescent="0.2">
      <c r="B86" s="199" t="s">
        <v>21</v>
      </c>
      <c r="C86" s="199"/>
      <c r="D86" s="199"/>
      <c r="E86" s="199"/>
      <c r="F86" s="199"/>
      <c r="G86" s="199"/>
      <c r="H86" s="90">
        <f>SUM(((H83*4.66%)+H83)/12)*4</f>
        <v>157078059.68938044</v>
      </c>
      <c r="I86" s="101"/>
    </row>
    <row r="87" spans="1:10" ht="26.25" customHeight="1" x14ac:dyDescent="0.2">
      <c r="B87" s="199" t="s">
        <v>225</v>
      </c>
      <c r="C87" s="199"/>
      <c r="D87" s="199"/>
      <c r="E87" s="199"/>
      <c r="F87" s="199"/>
      <c r="G87" s="199"/>
      <c r="H87" s="90">
        <f>SUM(((H84*3.66%)+H84)/12)*4</f>
        <v>5661971.3713289201</v>
      </c>
      <c r="I87" s="101"/>
    </row>
    <row r="88" spans="1:10" ht="79.5" customHeight="1" x14ac:dyDescent="0.2">
      <c r="B88" s="199" t="s">
        <v>188</v>
      </c>
      <c r="C88" s="199"/>
      <c r="D88" s="199"/>
      <c r="E88" s="199"/>
      <c r="F88" s="199"/>
      <c r="G88" s="199"/>
      <c r="H88" s="89">
        <f>SUM(H79:H87)</f>
        <v>1041283441.1745557</v>
      </c>
      <c r="I88" s="103" t="s">
        <v>224</v>
      </c>
    </row>
    <row r="89" spans="1:10" x14ac:dyDescent="0.2">
      <c r="I89" s="97"/>
    </row>
    <row r="90" spans="1:10" x14ac:dyDescent="0.2">
      <c r="I90" s="97"/>
    </row>
    <row r="91" spans="1:10" x14ac:dyDescent="0.2">
      <c r="A91" s="200" t="s">
        <v>178</v>
      </c>
      <c r="B91" s="200"/>
      <c r="C91" s="200"/>
      <c r="D91" s="200"/>
      <c r="E91" s="200"/>
      <c r="F91" s="200"/>
      <c r="G91" s="200"/>
      <c r="H91" s="200"/>
      <c r="I91" s="97"/>
    </row>
    <row r="92" spans="1:10" x14ac:dyDescent="0.2">
      <c r="A92" s="200"/>
      <c r="B92" s="200"/>
      <c r="C92" s="200"/>
      <c r="D92" s="200"/>
      <c r="E92" s="200"/>
      <c r="F92" s="200"/>
      <c r="G92" s="200"/>
      <c r="H92" s="200"/>
      <c r="I92" s="97"/>
    </row>
    <row r="93" spans="1:10" x14ac:dyDescent="0.2">
      <c r="A93" s="200"/>
      <c r="B93" s="200"/>
      <c r="C93" s="200"/>
      <c r="D93" s="200"/>
      <c r="E93" s="200"/>
      <c r="F93" s="200"/>
      <c r="G93" s="200"/>
      <c r="H93" s="200"/>
      <c r="I93" s="93"/>
    </row>
    <row r="94" spans="1:10" x14ac:dyDescent="0.2">
      <c r="A94" s="200"/>
      <c r="B94" s="200"/>
      <c r="C94" s="200"/>
      <c r="D94" s="200"/>
      <c r="E94" s="200"/>
      <c r="F94" s="200"/>
      <c r="G94" s="200"/>
      <c r="H94" s="200"/>
      <c r="I94" s="93"/>
    </row>
    <row r="95" spans="1:10" ht="6.75" customHeight="1" x14ac:dyDescent="0.2">
      <c r="I95" s="93"/>
    </row>
    <row r="96" spans="1:10" ht="87.75" customHeight="1" x14ac:dyDescent="0.2">
      <c r="A96" s="27" t="s">
        <v>175</v>
      </c>
      <c r="B96" s="201" t="s">
        <v>176</v>
      </c>
      <c r="C96" s="201"/>
      <c r="D96" s="201"/>
      <c r="E96" s="201"/>
      <c r="F96" s="201"/>
      <c r="G96" s="201"/>
      <c r="H96" s="91" t="s">
        <v>177</v>
      </c>
      <c r="I96" s="94"/>
      <c r="J96" s="96"/>
    </row>
    <row r="97" spans="1:9" ht="15.75" customHeight="1" x14ac:dyDescent="0.2">
      <c r="A97" s="29"/>
      <c r="B97" s="202"/>
      <c r="C97" s="202"/>
      <c r="D97" s="202"/>
      <c r="E97" s="202"/>
      <c r="F97" s="202"/>
      <c r="G97" s="202"/>
      <c r="H97" s="92"/>
      <c r="I97" s="95"/>
    </row>
    <row r="99" spans="1:9" ht="31.5" customHeight="1" x14ac:dyDescent="0.2">
      <c r="A99" s="203" t="s">
        <v>179</v>
      </c>
      <c r="B99" s="203"/>
      <c r="C99" s="203"/>
      <c r="D99" s="203"/>
      <c r="E99" s="203"/>
      <c r="F99" s="203"/>
      <c r="G99" s="203"/>
      <c r="H99" s="203"/>
    </row>
    <row r="101" spans="1:9" ht="57.75" customHeight="1" x14ac:dyDescent="0.2">
      <c r="A101" s="160" t="s">
        <v>226</v>
      </c>
      <c r="B101" s="160"/>
      <c r="C101" s="160"/>
      <c r="D101" s="160"/>
      <c r="E101" s="160"/>
      <c r="F101" s="160"/>
      <c r="G101" s="160"/>
      <c r="H101" s="160"/>
      <c r="I101" s="160"/>
    </row>
    <row r="102" spans="1:9" ht="102.75" customHeight="1" x14ac:dyDescent="0.2">
      <c r="A102" s="160" t="s">
        <v>245</v>
      </c>
      <c r="B102" s="160"/>
      <c r="C102" s="160"/>
      <c r="D102" s="160"/>
      <c r="E102" s="160"/>
      <c r="F102" s="160"/>
      <c r="G102" s="160"/>
      <c r="H102" s="160"/>
      <c r="I102" s="160"/>
    </row>
    <row r="103" spans="1:9" ht="105" customHeight="1" x14ac:dyDescent="0.2">
      <c r="A103" s="160" t="s">
        <v>227</v>
      </c>
      <c r="B103" s="160"/>
      <c r="C103" s="160"/>
      <c r="D103" s="160"/>
      <c r="E103" s="160"/>
      <c r="F103" s="160"/>
      <c r="G103" s="160"/>
      <c r="H103" s="160"/>
      <c r="I103" s="160"/>
    </row>
    <row r="104" spans="1:9" x14ac:dyDescent="0.2">
      <c r="A104" s="161" t="s">
        <v>235</v>
      </c>
      <c r="B104" s="162"/>
      <c r="C104" s="162"/>
      <c r="D104" s="162"/>
      <c r="E104" s="162"/>
      <c r="F104" s="162"/>
      <c r="G104" s="162"/>
      <c r="H104" s="162"/>
      <c r="I104" s="162"/>
    </row>
  </sheetData>
  <mergeCells count="116">
    <mergeCell ref="H23:H24"/>
    <mergeCell ref="E25:E26"/>
    <mergeCell ref="F25:F26"/>
    <mergeCell ref="G25:G26"/>
    <mergeCell ref="H25:H26"/>
    <mergeCell ref="H74:H75"/>
    <mergeCell ref="F76:F77"/>
    <mergeCell ref="G76:G77"/>
    <mergeCell ref="H76:H77"/>
    <mergeCell ref="G36:G37"/>
    <mergeCell ref="G38:G39"/>
    <mergeCell ref="H61:H62"/>
    <mergeCell ref="F61:F62"/>
    <mergeCell ref="E61:E62"/>
    <mergeCell ref="E63:E64"/>
    <mergeCell ref="F63:F64"/>
    <mergeCell ref="G63:G64"/>
    <mergeCell ref="H63:H64"/>
    <mergeCell ref="H36:H37"/>
    <mergeCell ref="H38:H39"/>
    <mergeCell ref="E49:E50"/>
    <mergeCell ref="F49:F50"/>
    <mergeCell ref="G49:G50"/>
    <mergeCell ref="H49:H50"/>
    <mergeCell ref="B87:G87"/>
    <mergeCell ref="A91:H94"/>
    <mergeCell ref="B96:G96"/>
    <mergeCell ref="B97:G97"/>
    <mergeCell ref="A99:H99"/>
    <mergeCell ref="B88:G88"/>
    <mergeCell ref="B79:G79"/>
    <mergeCell ref="B82:G82"/>
    <mergeCell ref="B83:G83"/>
    <mergeCell ref="B85:G85"/>
    <mergeCell ref="B86:G86"/>
    <mergeCell ref="B80:G80"/>
    <mergeCell ref="B81:G81"/>
    <mergeCell ref="B84:G84"/>
    <mergeCell ref="B54:C54"/>
    <mergeCell ref="B55:C55"/>
    <mergeCell ref="E74:E75"/>
    <mergeCell ref="E76:E77"/>
    <mergeCell ref="F74:F75"/>
    <mergeCell ref="G74:G75"/>
    <mergeCell ref="B25:B26"/>
    <mergeCell ref="C25:C26"/>
    <mergeCell ref="B27:G27"/>
    <mergeCell ref="D41:D51"/>
    <mergeCell ref="D53:D64"/>
    <mergeCell ref="B36:B37"/>
    <mergeCell ref="C36:C37"/>
    <mergeCell ref="B38:B39"/>
    <mergeCell ref="C38:C39"/>
    <mergeCell ref="B30:C30"/>
    <mergeCell ref="E36:E37"/>
    <mergeCell ref="E38:E39"/>
    <mergeCell ref="F36:F37"/>
    <mergeCell ref="F38:F39"/>
    <mergeCell ref="G61:G62"/>
    <mergeCell ref="A66:A78"/>
    <mergeCell ref="A41:A52"/>
    <mergeCell ref="B78:G78"/>
    <mergeCell ref="A53:A65"/>
    <mergeCell ref="B66:C66"/>
    <mergeCell ref="B67:C67"/>
    <mergeCell ref="B68:C68"/>
    <mergeCell ref="B74:B75"/>
    <mergeCell ref="C74:C75"/>
    <mergeCell ref="B61:B62"/>
    <mergeCell ref="C61:C62"/>
    <mergeCell ref="B63:B64"/>
    <mergeCell ref="C63:C64"/>
    <mergeCell ref="B41:C41"/>
    <mergeCell ref="B42:C42"/>
    <mergeCell ref="B43:C43"/>
    <mergeCell ref="D66:D77"/>
    <mergeCell ref="B52:G52"/>
    <mergeCell ref="B65:G65"/>
    <mergeCell ref="B76:B77"/>
    <mergeCell ref="C76:C77"/>
    <mergeCell ref="B49:B50"/>
    <mergeCell ref="C49:C50"/>
    <mergeCell ref="B53:C53"/>
    <mergeCell ref="B17:C17"/>
    <mergeCell ref="B23:B24"/>
    <mergeCell ref="C23:C24"/>
    <mergeCell ref="B28:C28"/>
    <mergeCell ref="B29:C29"/>
    <mergeCell ref="B40:G40"/>
    <mergeCell ref="E23:E24"/>
    <mergeCell ref="F23:F24"/>
    <mergeCell ref="G23:G24"/>
    <mergeCell ref="I1:I2"/>
    <mergeCell ref="A101:I101"/>
    <mergeCell ref="A102:I102"/>
    <mergeCell ref="A103:I103"/>
    <mergeCell ref="A104:I104"/>
    <mergeCell ref="H1:H2"/>
    <mergeCell ref="A1:C2"/>
    <mergeCell ref="F1:F2"/>
    <mergeCell ref="G1:G2"/>
    <mergeCell ref="B3:C3"/>
    <mergeCell ref="B4:C4"/>
    <mergeCell ref="B5:C5"/>
    <mergeCell ref="B6:C6"/>
    <mergeCell ref="A28:A40"/>
    <mergeCell ref="D1:D2"/>
    <mergeCell ref="E1:E2"/>
    <mergeCell ref="D3:D13"/>
    <mergeCell ref="D28:D39"/>
    <mergeCell ref="A4:A14"/>
    <mergeCell ref="B14:G14"/>
    <mergeCell ref="A15:A27"/>
    <mergeCell ref="B15:C15"/>
    <mergeCell ref="D15:D26"/>
    <mergeCell ref="B16:C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A10" workbookViewId="0">
      <selection activeCell="B25" sqref="B25"/>
    </sheetView>
  </sheetViews>
  <sheetFormatPr baseColWidth="10" defaultRowHeight="12.75" x14ac:dyDescent="0.2"/>
  <cols>
    <col min="1" max="1" width="62.140625" style="6" customWidth="1"/>
    <col min="2" max="3" width="30.5703125" style="6" customWidth="1"/>
    <col min="4" max="4" width="33.28515625" style="6" customWidth="1"/>
    <col min="5" max="5" width="39.85546875" style="114" customWidth="1"/>
    <col min="6" max="16384" width="11.42578125" style="6"/>
  </cols>
  <sheetData>
    <row r="1" spans="1:10" ht="36.75" customHeight="1" x14ac:dyDescent="0.2">
      <c r="A1" s="34" t="s">
        <v>25</v>
      </c>
      <c r="B1" s="9" t="s">
        <v>190</v>
      </c>
      <c r="C1" s="9" t="s">
        <v>191</v>
      </c>
      <c r="D1" s="9" t="s">
        <v>192</v>
      </c>
      <c r="E1" s="9" t="s">
        <v>211</v>
      </c>
    </row>
    <row r="2" spans="1:10" ht="67.5" customHeight="1" x14ac:dyDescent="0.2">
      <c r="A2" s="7" t="s">
        <v>28</v>
      </c>
      <c r="B2" s="40">
        <v>110305420</v>
      </c>
      <c r="C2" s="40">
        <v>171513897</v>
      </c>
      <c r="D2" s="40">
        <v>59263769</v>
      </c>
      <c r="E2" s="112" t="s">
        <v>215</v>
      </c>
    </row>
    <row r="3" spans="1:10" ht="102" customHeight="1" x14ac:dyDescent="0.2">
      <c r="A3" s="7" t="s">
        <v>233</v>
      </c>
      <c r="B3" s="40">
        <v>1156407</v>
      </c>
      <c r="C3" s="40">
        <f>SUM((B3/8)*12)*3.66%+1734610.5</f>
        <v>1798097.2442999999</v>
      </c>
      <c r="D3" s="40">
        <v>627105</v>
      </c>
      <c r="E3" s="112" t="s">
        <v>228</v>
      </c>
    </row>
    <row r="4" spans="1:10" ht="89.25" customHeight="1" x14ac:dyDescent="0.2">
      <c r="A4" s="7" t="s">
        <v>29</v>
      </c>
      <c r="B4" s="40">
        <v>46191540</v>
      </c>
      <c r="C4" s="40">
        <v>71832966</v>
      </c>
      <c r="D4" s="40">
        <v>24899752</v>
      </c>
      <c r="E4" s="113" t="s">
        <v>232</v>
      </c>
    </row>
    <row r="5" spans="1:10" ht="12.75" customHeight="1" x14ac:dyDescent="0.2">
      <c r="A5" s="35"/>
      <c r="B5" s="36"/>
    </row>
    <row r="6" spans="1:10" ht="79.5" customHeight="1" x14ac:dyDescent="0.2">
      <c r="A6" s="216" t="s">
        <v>187</v>
      </c>
      <c r="B6" s="216"/>
      <c r="C6" s="216">
        <v>487588952</v>
      </c>
      <c r="D6" s="216"/>
      <c r="E6" s="115" t="s">
        <v>229</v>
      </c>
      <c r="F6" s="108"/>
      <c r="G6" s="108"/>
      <c r="H6" s="108"/>
      <c r="I6" s="108"/>
      <c r="J6" s="108"/>
    </row>
    <row r="7" spans="1:10" ht="12.75" customHeight="1" x14ac:dyDescent="0.2">
      <c r="A7" s="8"/>
    </row>
    <row r="8" spans="1:10" ht="12.75" customHeight="1" x14ac:dyDescent="0.2">
      <c r="A8" s="217" t="s">
        <v>178</v>
      </c>
      <c r="B8" s="217"/>
      <c r="C8" s="217"/>
      <c r="D8" s="217"/>
      <c r="E8" s="116"/>
      <c r="F8" s="109"/>
      <c r="G8" s="109"/>
    </row>
    <row r="9" spans="1:10" ht="12.75" customHeight="1" x14ac:dyDescent="0.2">
      <c r="A9" s="217"/>
      <c r="B9" s="217"/>
      <c r="C9" s="217"/>
      <c r="D9" s="217"/>
      <c r="E9" s="116"/>
      <c r="F9" s="109"/>
      <c r="G9" s="109"/>
    </row>
    <row r="10" spans="1:10" ht="12.75" customHeight="1" x14ac:dyDescent="0.2">
      <c r="A10" s="77"/>
      <c r="B10" s="77"/>
      <c r="C10" s="77"/>
      <c r="D10" s="77"/>
      <c r="E10" s="117"/>
      <c r="F10" s="77"/>
      <c r="G10" s="77"/>
    </row>
    <row r="11" spans="1:10" ht="81" customHeight="1" x14ac:dyDescent="0.2">
      <c r="A11" s="110" t="s">
        <v>175</v>
      </c>
      <c r="B11" s="91" t="s">
        <v>176</v>
      </c>
      <c r="C11" s="91" t="s">
        <v>177</v>
      </c>
      <c r="D11" s="96"/>
      <c r="E11" s="118"/>
      <c r="F11" s="96"/>
    </row>
    <row r="12" spans="1:10" ht="13.5" customHeight="1" x14ac:dyDescent="0.2">
      <c r="A12" s="91"/>
      <c r="B12" s="91"/>
      <c r="C12" s="91"/>
      <c r="D12" s="96"/>
      <c r="E12" s="118"/>
      <c r="F12" s="96"/>
    </row>
    <row r="13" spans="1:10" ht="6.75" customHeight="1" x14ac:dyDescent="0.2"/>
    <row r="14" spans="1:10" ht="28.5" customHeight="1" x14ac:dyDescent="0.2">
      <c r="A14" s="215" t="s">
        <v>179</v>
      </c>
      <c r="B14" s="215"/>
      <c r="C14" s="215"/>
      <c r="D14" s="111"/>
      <c r="E14" s="119"/>
      <c r="F14" s="111"/>
      <c r="G14" s="111"/>
    </row>
    <row r="15" spans="1:10" ht="16.5" customHeight="1" x14ac:dyDescent="0.2">
      <c r="A15" s="120"/>
      <c r="B15" s="120"/>
      <c r="C15" s="120"/>
      <c r="D15" s="111"/>
      <c r="E15" s="119"/>
      <c r="F15" s="111"/>
      <c r="G15" s="111"/>
    </row>
    <row r="16" spans="1:10" ht="29.25" customHeight="1" x14ac:dyDescent="0.2">
      <c r="A16" s="213" t="s">
        <v>230</v>
      </c>
      <c r="B16" s="213"/>
      <c r="C16" s="213"/>
      <c r="D16" s="213"/>
      <c r="E16" s="213"/>
    </row>
    <row r="17" spans="1:5" ht="29.25" customHeight="1" x14ac:dyDescent="0.2">
      <c r="A17" s="213" t="s">
        <v>231</v>
      </c>
      <c r="B17" s="213"/>
      <c r="C17" s="213"/>
      <c r="D17" s="213"/>
      <c r="E17" s="213"/>
    </row>
    <row r="18" spans="1:5" x14ac:dyDescent="0.2">
      <c r="A18" s="214" t="s">
        <v>234</v>
      </c>
      <c r="B18" s="214"/>
      <c r="C18" s="214"/>
      <c r="D18" s="214"/>
      <c r="E18" s="214"/>
    </row>
  </sheetData>
  <mergeCells count="7">
    <mergeCell ref="A16:E16"/>
    <mergeCell ref="A17:E17"/>
    <mergeCell ref="A18:E18"/>
    <mergeCell ref="A14:C14"/>
    <mergeCell ref="A6:B6"/>
    <mergeCell ref="C6:D6"/>
    <mergeCell ref="A8:D9"/>
  </mergeCells>
  <pageMargins left="0.70866141732283472" right="0.70866141732283472" top="0.74803149606299213" bottom="0.7480314960629921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zoomScaleNormal="100" workbookViewId="0">
      <pane ySplit="2" topLeftCell="A32" activePane="bottomLeft" state="frozen"/>
      <selection pane="bottomLeft" activeCell="A43" sqref="A43"/>
    </sheetView>
  </sheetViews>
  <sheetFormatPr baseColWidth="10" defaultRowHeight="16.5" x14ac:dyDescent="0.3"/>
  <cols>
    <col min="1" max="1" width="44" style="13" customWidth="1"/>
    <col min="2" max="29" width="11.42578125" style="13"/>
    <col min="30" max="30" width="42.140625" style="13" customWidth="1"/>
    <col min="31" max="16384" width="11.42578125" style="13"/>
  </cols>
  <sheetData>
    <row r="1" spans="1:29" ht="48" customHeight="1" x14ac:dyDescent="0.3">
      <c r="A1" s="223" t="s">
        <v>25</v>
      </c>
      <c r="B1" s="224" t="s">
        <v>142</v>
      </c>
      <c r="C1" s="224"/>
      <c r="D1" s="224"/>
      <c r="E1" s="224"/>
      <c r="F1" s="224" t="s">
        <v>143</v>
      </c>
      <c r="G1" s="224"/>
      <c r="H1" s="224"/>
      <c r="I1" s="224"/>
      <c r="J1" s="225" t="s">
        <v>144</v>
      </c>
      <c r="K1" s="225"/>
      <c r="L1" s="225"/>
      <c r="M1" s="225"/>
      <c r="N1" s="224" t="s">
        <v>145</v>
      </c>
      <c r="O1" s="224"/>
      <c r="P1" s="224"/>
      <c r="Q1" s="224"/>
      <c r="R1" s="224" t="s">
        <v>146</v>
      </c>
      <c r="S1" s="224"/>
      <c r="T1" s="224"/>
      <c r="U1" s="224"/>
      <c r="V1" s="224" t="s">
        <v>238</v>
      </c>
      <c r="W1" s="224"/>
      <c r="X1" s="224"/>
      <c r="Y1" s="224"/>
      <c r="Z1" s="220" t="s">
        <v>239</v>
      </c>
      <c r="AA1" s="221"/>
      <c r="AB1" s="221"/>
      <c r="AC1" s="222"/>
    </row>
    <row r="2" spans="1:29" ht="45" customHeight="1" x14ac:dyDescent="0.3">
      <c r="A2" s="223"/>
      <c r="B2" s="16" t="s">
        <v>5</v>
      </c>
      <c r="C2" s="17" t="s">
        <v>26</v>
      </c>
      <c r="D2" s="17" t="s">
        <v>189</v>
      </c>
      <c r="E2" s="17" t="s">
        <v>173</v>
      </c>
      <c r="F2" s="16" t="s">
        <v>5</v>
      </c>
      <c r="G2" s="17" t="s">
        <v>26</v>
      </c>
      <c r="H2" s="17" t="s">
        <v>189</v>
      </c>
      <c r="I2" s="17" t="s">
        <v>193</v>
      </c>
      <c r="J2" s="47" t="s">
        <v>5</v>
      </c>
      <c r="K2" s="48" t="s">
        <v>26</v>
      </c>
      <c r="L2" s="48" t="s">
        <v>189</v>
      </c>
      <c r="M2" s="48" t="s">
        <v>193</v>
      </c>
      <c r="N2" s="16" t="s">
        <v>5</v>
      </c>
      <c r="O2" s="17" t="s">
        <v>26</v>
      </c>
      <c r="P2" s="17" t="s">
        <v>189</v>
      </c>
      <c r="Q2" s="17" t="s">
        <v>193</v>
      </c>
      <c r="R2" s="16" t="s">
        <v>5</v>
      </c>
      <c r="S2" s="17" t="s">
        <v>26</v>
      </c>
      <c r="T2" s="17" t="s">
        <v>189</v>
      </c>
      <c r="U2" s="17" t="s">
        <v>193</v>
      </c>
      <c r="V2" s="16" t="s">
        <v>5</v>
      </c>
      <c r="W2" s="17" t="s">
        <v>26</v>
      </c>
      <c r="X2" s="17" t="s">
        <v>189</v>
      </c>
      <c r="Y2" s="17" t="s">
        <v>193</v>
      </c>
      <c r="Z2" s="16" t="s">
        <v>5</v>
      </c>
      <c r="AA2" s="17" t="s">
        <v>26</v>
      </c>
      <c r="AB2" s="17" t="s">
        <v>189</v>
      </c>
      <c r="AC2" s="17" t="s">
        <v>193</v>
      </c>
    </row>
    <row r="3" spans="1:29" ht="29.25" customHeight="1" x14ac:dyDescent="0.3">
      <c r="A3" s="18" t="s">
        <v>147</v>
      </c>
      <c r="B3" s="19">
        <v>1</v>
      </c>
      <c r="C3" s="41">
        <v>7000</v>
      </c>
      <c r="D3" s="41">
        <f>SUM(C3*16%)</f>
        <v>1120</v>
      </c>
      <c r="E3" s="44">
        <f>SUM(C3:D3)*B3</f>
        <v>8120</v>
      </c>
      <c r="F3" s="20" t="s">
        <v>148</v>
      </c>
      <c r="G3" s="42">
        <v>7000</v>
      </c>
      <c r="H3" s="42">
        <f>SUM(G3*16%)</f>
        <v>1120</v>
      </c>
      <c r="I3" s="43">
        <v>0</v>
      </c>
      <c r="J3" s="49" t="s">
        <v>148</v>
      </c>
      <c r="K3" s="45">
        <v>7000</v>
      </c>
      <c r="L3" s="45">
        <f>SUM(K3*16%)</f>
        <v>1120</v>
      </c>
      <c r="M3" s="45">
        <v>0</v>
      </c>
      <c r="N3" s="20" t="s">
        <v>148</v>
      </c>
      <c r="O3" s="45">
        <v>7000</v>
      </c>
      <c r="P3" s="53">
        <f>SUM(O3)*16%</f>
        <v>1120</v>
      </c>
      <c r="Q3" s="20">
        <v>0</v>
      </c>
      <c r="R3" s="20" t="s">
        <v>148</v>
      </c>
      <c r="S3" s="55">
        <v>7000</v>
      </c>
      <c r="T3" s="55">
        <f>SUM(S3*16%)</f>
        <v>1120</v>
      </c>
      <c r="U3" s="55">
        <v>0</v>
      </c>
      <c r="V3" s="20" t="s">
        <v>148</v>
      </c>
      <c r="W3" s="56">
        <v>7000</v>
      </c>
      <c r="X3" s="56">
        <v>0</v>
      </c>
      <c r="Y3" s="56">
        <v>0</v>
      </c>
      <c r="Z3" s="20" t="s">
        <v>148</v>
      </c>
      <c r="AA3" s="57">
        <v>7000</v>
      </c>
      <c r="AB3" s="57">
        <f>SUM(AA3*16%)</f>
        <v>1120</v>
      </c>
      <c r="AC3" s="58">
        <v>0</v>
      </c>
    </row>
    <row r="4" spans="1:29" ht="54" x14ac:dyDescent="0.3">
      <c r="A4" s="121" t="s">
        <v>149</v>
      </c>
      <c r="B4" s="20">
        <v>2</v>
      </c>
      <c r="C4" s="42">
        <v>3800</v>
      </c>
      <c r="D4" s="42">
        <f>SUM(C4*16%)</f>
        <v>608</v>
      </c>
      <c r="E4" s="45">
        <f>SUM(C4+D4)*B4</f>
        <v>8816</v>
      </c>
      <c r="F4" s="20" t="s">
        <v>148</v>
      </c>
      <c r="G4" s="42">
        <v>3800</v>
      </c>
      <c r="H4" s="42">
        <f>SUM(G4*16%)</f>
        <v>608</v>
      </c>
      <c r="I4" s="43">
        <v>0</v>
      </c>
      <c r="J4" s="49" t="s">
        <v>148</v>
      </c>
      <c r="K4" s="45">
        <v>3800</v>
      </c>
      <c r="L4" s="45">
        <f>SUM(K4*16%)</f>
        <v>608</v>
      </c>
      <c r="M4" s="45">
        <v>0</v>
      </c>
      <c r="N4" s="20" t="s">
        <v>148</v>
      </c>
      <c r="O4" s="45">
        <v>3800</v>
      </c>
      <c r="P4" s="53">
        <f>SUM(O4)*16%</f>
        <v>608</v>
      </c>
      <c r="Q4" s="20">
        <v>0</v>
      </c>
      <c r="R4" s="20" t="s">
        <v>148</v>
      </c>
      <c r="S4" s="55">
        <v>3800</v>
      </c>
      <c r="T4" s="55">
        <f>SUM(S4*16%)</f>
        <v>608</v>
      </c>
      <c r="U4" s="55">
        <v>0</v>
      </c>
      <c r="V4" s="20" t="s">
        <v>148</v>
      </c>
      <c r="W4" s="56">
        <v>3800</v>
      </c>
      <c r="X4" s="56">
        <v>0</v>
      </c>
      <c r="Y4" s="56">
        <v>0</v>
      </c>
      <c r="Z4" s="20" t="s">
        <v>148</v>
      </c>
      <c r="AA4" s="57">
        <v>3800</v>
      </c>
      <c r="AB4" s="57">
        <f>SUM(AA4*16%)</f>
        <v>608</v>
      </c>
      <c r="AC4" s="58">
        <v>0</v>
      </c>
    </row>
    <row r="5" spans="1:29" ht="54" x14ac:dyDescent="0.3">
      <c r="A5" s="121" t="s">
        <v>150</v>
      </c>
      <c r="B5" s="20" t="s">
        <v>151</v>
      </c>
      <c r="C5" s="42">
        <v>0</v>
      </c>
      <c r="D5" s="42">
        <v>0</v>
      </c>
      <c r="E5" s="45">
        <f>SUM(C5+D5)</f>
        <v>0</v>
      </c>
      <c r="F5" s="20" t="s">
        <v>148</v>
      </c>
      <c r="G5" s="42">
        <v>0</v>
      </c>
      <c r="H5" s="42">
        <v>0</v>
      </c>
      <c r="I5" s="43">
        <v>0</v>
      </c>
      <c r="J5" s="49" t="s">
        <v>148</v>
      </c>
      <c r="K5" s="45">
        <v>0</v>
      </c>
      <c r="L5" s="45">
        <v>0</v>
      </c>
      <c r="M5" s="45">
        <v>0</v>
      </c>
      <c r="N5" s="20" t="s">
        <v>148</v>
      </c>
      <c r="O5" s="45">
        <v>0</v>
      </c>
      <c r="P5" s="53">
        <f t="shared" ref="P5:P14" si="0">SUM(O5)*16%</f>
        <v>0</v>
      </c>
      <c r="Q5" s="20">
        <v>0</v>
      </c>
      <c r="R5" s="20" t="s">
        <v>148</v>
      </c>
      <c r="S5" s="55">
        <v>0</v>
      </c>
      <c r="T5" s="55">
        <v>0</v>
      </c>
      <c r="U5" s="55">
        <v>0</v>
      </c>
      <c r="V5" s="20" t="s">
        <v>148</v>
      </c>
      <c r="W5" s="56">
        <v>0</v>
      </c>
      <c r="X5" s="56">
        <v>0</v>
      </c>
      <c r="Y5" s="56">
        <v>0</v>
      </c>
      <c r="Z5" s="20" t="s">
        <v>148</v>
      </c>
      <c r="AA5" s="57">
        <v>0</v>
      </c>
      <c r="AB5" s="57">
        <f t="shared" ref="AB5:AB20" si="1">SUM(AA5*16%)</f>
        <v>0</v>
      </c>
      <c r="AC5" s="58">
        <v>1</v>
      </c>
    </row>
    <row r="6" spans="1:29" ht="27" x14ac:dyDescent="0.3">
      <c r="A6" s="121" t="s">
        <v>152</v>
      </c>
      <c r="B6" s="19">
        <v>6</v>
      </c>
      <c r="C6" s="41">
        <v>4500</v>
      </c>
      <c r="D6" s="41">
        <f>SUM(C6*16%)</f>
        <v>720</v>
      </c>
      <c r="E6" s="44">
        <f>SUM(C6:D6)*B6</f>
        <v>31320</v>
      </c>
      <c r="F6" s="20">
        <v>1</v>
      </c>
      <c r="G6" s="42">
        <v>4500</v>
      </c>
      <c r="H6" s="42">
        <f t="shared" ref="H6:H20" si="2">SUM(G6*16%)</f>
        <v>720</v>
      </c>
      <c r="I6" s="43">
        <f t="shared" ref="I6:I10" si="3">SUM(G6+H6)*F6</f>
        <v>5220</v>
      </c>
      <c r="J6" s="49">
        <v>1</v>
      </c>
      <c r="K6" s="45">
        <v>4500</v>
      </c>
      <c r="L6" s="45">
        <f>SUM(K6*16%)</f>
        <v>720</v>
      </c>
      <c r="M6" s="45">
        <f>SUM(K6+L6)*J6</f>
        <v>5220</v>
      </c>
      <c r="N6" s="20">
        <v>1</v>
      </c>
      <c r="O6" s="45">
        <v>4500</v>
      </c>
      <c r="P6" s="53">
        <f t="shared" si="0"/>
        <v>720</v>
      </c>
      <c r="Q6" s="53">
        <f>SUM(O6:P6)*N6</f>
        <v>5220</v>
      </c>
      <c r="R6" s="20">
        <v>1</v>
      </c>
      <c r="S6" s="55">
        <v>4500</v>
      </c>
      <c r="T6" s="55">
        <f>SUM(S6*16%)</f>
        <v>720</v>
      </c>
      <c r="U6" s="55">
        <f>SUM(S6:T6)*R6</f>
        <v>5220</v>
      </c>
      <c r="V6" s="20">
        <v>2</v>
      </c>
      <c r="W6" s="56">
        <v>4500</v>
      </c>
      <c r="X6" s="56">
        <v>0</v>
      </c>
      <c r="Y6" s="56">
        <f t="shared" ref="Y6:Y19" si="4">SUM(W6:X6)*V6</f>
        <v>9000</v>
      </c>
      <c r="Z6" s="20" t="s">
        <v>153</v>
      </c>
      <c r="AA6" s="57">
        <v>4500</v>
      </c>
      <c r="AB6" s="57">
        <f t="shared" si="1"/>
        <v>720</v>
      </c>
      <c r="AC6" s="59">
        <f>SUM(AA6:AB6)*22</f>
        <v>114840</v>
      </c>
    </row>
    <row r="7" spans="1:29" ht="16.5" customHeight="1" x14ac:dyDescent="0.3">
      <c r="A7" s="121" t="s">
        <v>154</v>
      </c>
      <c r="B7" s="19">
        <v>15</v>
      </c>
      <c r="C7" s="41">
        <v>1200</v>
      </c>
      <c r="D7" s="41">
        <f>SUM(C7*16%)</f>
        <v>192</v>
      </c>
      <c r="E7" s="44">
        <f>SUM(C7:D7)*B7</f>
        <v>20880</v>
      </c>
      <c r="F7" s="20">
        <v>2</v>
      </c>
      <c r="G7" s="42">
        <v>1200</v>
      </c>
      <c r="H7" s="42">
        <f t="shared" si="2"/>
        <v>192</v>
      </c>
      <c r="I7" s="43">
        <f t="shared" si="3"/>
        <v>2784</v>
      </c>
      <c r="J7" s="49">
        <v>2</v>
      </c>
      <c r="K7" s="45">
        <v>1200</v>
      </c>
      <c r="L7" s="45">
        <f t="shared" ref="L7:L20" si="5">SUM(K7*16%)</f>
        <v>192</v>
      </c>
      <c r="M7" s="45">
        <f t="shared" ref="M7:M10" si="6">SUM(K7+L7)*J7</f>
        <v>2784</v>
      </c>
      <c r="N7" s="20">
        <v>2</v>
      </c>
      <c r="O7" s="45">
        <v>1200</v>
      </c>
      <c r="P7" s="53">
        <f t="shared" si="0"/>
        <v>192</v>
      </c>
      <c r="Q7" s="53">
        <f>SUM(O7:P7)*N7</f>
        <v>2784</v>
      </c>
      <c r="R7" s="20">
        <v>2</v>
      </c>
      <c r="S7" s="55">
        <v>1200</v>
      </c>
      <c r="T7" s="55">
        <f>SUM(S7*16%)</f>
        <v>192</v>
      </c>
      <c r="U7" s="55">
        <f>SUM(S7:T7)*R7</f>
        <v>2784</v>
      </c>
      <c r="V7" s="20">
        <v>4</v>
      </c>
      <c r="W7" s="56">
        <v>1200</v>
      </c>
      <c r="X7" s="56">
        <v>0</v>
      </c>
      <c r="Y7" s="56">
        <f t="shared" si="4"/>
        <v>4800</v>
      </c>
      <c r="Z7" s="20" t="s">
        <v>155</v>
      </c>
      <c r="AA7" s="57">
        <v>1200</v>
      </c>
      <c r="AB7" s="57">
        <f t="shared" si="1"/>
        <v>192</v>
      </c>
      <c r="AC7" s="59">
        <f>SUM(AA7:AB7)*44</f>
        <v>61248</v>
      </c>
    </row>
    <row r="8" spans="1:29" ht="26.25" customHeight="1" x14ac:dyDescent="0.3">
      <c r="A8" s="121" t="s">
        <v>156</v>
      </c>
      <c r="B8" s="19">
        <v>60</v>
      </c>
      <c r="C8" s="41">
        <v>3300</v>
      </c>
      <c r="D8" s="41">
        <f>SUM(C8*16%)</f>
        <v>528</v>
      </c>
      <c r="E8" s="44">
        <f t="shared" ref="E8:E20" si="7">SUM(C8:D8)*B8</f>
        <v>229680</v>
      </c>
      <c r="F8" s="20" t="s">
        <v>148</v>
      </c>
      <c r="G8" s="42">
        <v>3300</v>
      </c>
      <c r="H8" s="42">
        <f t="shared" si="2"/>
        <v>528</v>
      </c>
      <c r="I8" s="43">
        <v>0</v>
      </c>
      <c r="J8" s="49" t="s">
        <v>148</v>
      </c>
      <c r="K8" s="45">
        <v>3300</v>
      </c>
      <c r="L8" s="45">
        <f t="shared" si="5"/>
        <v>528</v>
      </c>
      <c r="M8" s="45">
        <v>0</v>
      </c>
      <c r="N8" s="20" t="s">
        <v>148</v>
      </c>
      <c r="O8" s="45">
        <v>3300</v>
      </c>
      <c r="P8" s="53">
        <f t="shared" si="0"/>
        <v>528</v>
      </c>
      <c r="Q8" s="54">
        <v>0</v>
      </c>
      <c r="R8" s="20" t="s">
        <v>148</v>
      </c>
      <c r="S8" s="55">
        <v>3300</v>
      </c>
      <c r="T8" s="55">
        <f t="shared" ref="T8:T20" si="8">SUM(S8*16%)</f>
        <v>528</v>
      </c>
      <c r="U8" s="55">
        <v>0</v>
      </c>
      <c r="V8" s="20" t="s">
        <v>148</v>
      </c>
      <c r="W8" s="56">
        <v>3300</v>
      </c>
      <c r="X8" s="56">
        <v>0</v>
      </c>
      <c r="Y8" s="56">
        <v>0</v>
      </c>
      <c r="Z8" s="20" t="s">
        <v>148</v>
      </c>
      <c r="AA8" s="57">
        <v>3300</v>
      </c>
      <c r="AB8" s="57">
        <f t="shared" si="1"/>
        <v>528</v>
      </c>
      <c r="AC8" s="58">
        <v>0</v>
      </c>
    </row>
    <row r="9" spans="1:29" ht="16.5" customHeight="1" x14ac:dyDescent="0.3">
      <c r="A9" s="121" t="s">
        <v>157</v>
      </c>
      <c r="B9" s="19">
        <v>9</v>
      </c>
      <c r="C9" s="41">
        <v>2300</v>
      </c>
      <c r="D9" s="41">
        <f t="shared" ref="D9:D20" si="9">SUM(C9*16%)</f>
        <v>368</v>
      </c>
      <c r="E9" s="44">
        <f t="shared" si="7"/>
        <v>24012</v>
      </c>
      <c r="F9" s="20">
        <v>1</v>
      </c>
      <c r="G9" s="42">
        <v>2300</v>
      </c>
      <c r="H9" s="42">
        <f t="shared" si="2"/>
        <v>368</v>
      </c>
      <c r="I9" s="43">
        <f t="shared" si="3"/>
        <v>2668</v>
      </c>
      <c r="J9" s="49">
        <v>1</v>
      </c>
      <c r="K9" s="45">
        <v>2300</v>
      </c>
      <c r="L9" s="45">
        <f t="shared" si="5"/>
        <v>368</v>
      </c>
      <c r="M9" s="45">
        <f t="shared" si="6"/>
        <v>2668</v>
      </c>
      <c r="N9" s="20">
        <v>1</v>
      </c>
      <c r="O9" s="45">
        <v>2300</v>
      </c>
      <c r="P9" s="53">
        <f t="shared" si="0"/>
        <v>368</v>
      </c>
      <c r="Q9" s="53">
        <f t="shared" ref="Q9" si="10">SUM(O9:P9)</f>
        <v>2668</v>
      </c>
      <c r="R9" s="20">
        <v>1</v>
      </c>
      <c r="S9" s="55">
        <v>2300</v>
      </c>
      <c r="T9" s="55">
        <f t="shared" si="8"/>
        <v>368</v>
      </c>
      <c r="U9" s="55">
        <f t="shared" ref="U9:U19" si="11">SUM(S9:T9)*R9</f>
        <v>2668</v>
      </c>
      <c r="V9" s="20" t="s">
        <v>158</v>
      </c>
      <c r="W9" s="56">
        <v>2300</v>
      </c>
      <c r="X9" s="56">
        <v>0</v>
      </c>
      <c r="Y9" s="56">
        <v>0</v>
      </c>
      <c r="Z9" s="20" t="s">
        <v>158</v>
      </c>
      <c r="AA9" s="57">
        <v>2300</v>
      </c>
      <c r="AB9" s="57">
        <f t="shared" si="1"/>
        <v>368</v>
      </c>
      <c r="AC9" s="58">
        <v>0</v>
      </c>
    </row>
    <row r="10" spans="1:29" ht="35.25" customHeight="1" x14ac:dyDescent="0.3">
      <c r="A10" s="121" t="s">
        <v>159</v>
      </c>
      <c r="B10" s="19">
        <v>8</v>
      </c>
      <c r="C10" s="41">
        <v>2600</v>
      </c>
      <c r="D10" s="41">
        <f t="shared" si="9"/>
        <v>416</v>
      </c>
      <c r="E10" s="44">
        <f t="shared" si="7"/>
        <v>24128</v>
      </c>
      <c r="F10" s="20">
        <v>1</v>
      </c>
      <c r="G10" s="42">
        <v>2600</v>
      </c>
      <c r="H10" s="42">
        <f t="shared" si="2"/>
        <v>416</v>
      </c>
      <c r="I10" s="43">
        <f t="shared" si="3"/>
        <v>3016</v>
      </c>
      <c r="J10" s="49">
        <v>1</v>
      </c>
      <c r="K10" s="45">
        <v>2600</v>
      </c>
      <c r="L10" s="45">
        <f t="shared" si="5"/>
        <v>416</v>
      </c>
      <c r="M10" s="45">
        <f t="shared" si="6"/>
        <v>3016</v>
      </c>
      <c r="N10" s="20" t="s">
        <v>148</v>
      </c>
      <c r="O10" s="45">
        <v>2600</v>
      </c>
      <c r="P10" s="53">
        <f t="shared" si="0"/>
        <v>416</v>
      </c>
      <c r="Q10" s="20">
        <v>0</v>
      </c>
      <c r="R10" s="20">
        <v>1</v>
      </c>
      <c r="S10" s="55">
        <v>2600</v>
      </c>
      <c r="T10" s="55">
        <f t="shared" si="8"/>
        <v>416</v>
      </c>
      <c r="U10" s="55">
        <f t="shared" si="11"/>
        <v>3016</v>
      </c>
      <c r="V10" s="20" t="s">
        <v>158</v>
      </c>
      <c r="W10" s="56">
        <v>2600</v>
      </c>
      <c r="X10" s="56">
        <v>0</v>
      </c>
      <c r="Y10" s="56">
        <v>0</v>
      </c>
      <c r="Z10" s="20" t="s">
        <v>158</v>
      </c>
      <c r="AA10" s="57">
        <v>2600</v>
      </c>
      <c r="AB10" s="57">
        <f t="shared" si="1"/>
        <v>416</v>
      </c>
      <c r="AC10" s="58">
        <v>0</v>
      </c>
    </row>
    <row r="11" spans="1:29" ht="35.25" customHeight="1" x14ac:dyDescent="0.3">
      <c r="A11" s="121" t="s">
        <v>160</v>
      </c>
      <c r="B11" s="19">
        <v>8</v>
      </c>
      <c r="C11" s="41">
        <v>2600</v>
      </c>
      <c r="D11" s="41">
        <f t="shared" si="9"/>
        <v>416</v>
      </c>
      <c r="E11" s="44">
        <f t="shared" si="7"/>
        <v>24128</v>
      </c>
      <c r="F11" s="20" t="s">
        <v>148</v>
      </c>
      <c r="G11" s="42">
        <v>2600</v>
      </c>
      <c r="H11" s="42">
        <f t="shared" si="2"/>
        <v>416</v>
      </c>
      <c r="I11" s="43">
        <v>0</v>
      </c>
      <c r="J11" s="49" t="s">
        <v>148</v>
      </c>
      <c r="K11" s="45">
        <v>2600</v>
      </c>
      <c r="L11" s="45">
        <f t="shared" si="5"/>
        <v>416</v>
      </c>
      <c r="M11" s="45">
        <v>0</v>
      </c>
      <c r="N11" s="20" t="s">
        <v>148</v>
      </c>
      <c r="O11" s="45">
        <v>2600</v>
      </c>
      <c r="P11" s="53">
        <f t="shared" si="0"/>
        <v>416</v>
      </c>
      <c r="Q11" s="20">
        <v>0</v>
      </c>
      <c r="R11" s="20" t="s">
        <v>148</v>
      </c>
      <c r="S11" s="55">
        <v>2600</v>
      </c>
      <c r="T11" s="55">
        <f t="shared" si="8"/>
        <v>416</v>
      </c>
      <c r="U11" s="55">
        <v>0</v>
      </c>
      <c r="V11" s="20" t="s">
        <v>148</v>
      </c>
      <c r="W11" s="56">
        <v>2600</v>
      </c>
      <c r="X11" s="56">
        <v>0</v>
      </c>
      <c r="Y11" s="56">
        <v>0</v>
      </c>
      <c r="Z11" s="20" t="s">
        <v>148</v>
      </c>
      <c r="AA11" s="57">
        <v>2600</v>
      </c>
      <c r="AB11" s="57">
        <f t="shared" si="1"/>
        <v>416</v>
      </c>
      <c r="AC11" s="58">
        <v>0</v>
      </c>
    </row>
    <row r="12" spans="1:29" ht="38.25" customHeight="1" x14ac:dyDescent="0.3">
      <c r="A12" s="121" t="s">
        <v>161</v>
      </c>
      <c r="B12" s="19">
        <v>1</v>
      </c>
      <c r="C12" s="41">
        <v>3500</v>
      </c>
      <c r="D12" s="41">
        <f t="shared" si="9"/>
        <v>560</v>
      </c>
      <c r="E12" s="44">
        <f t="shared" si="7"/>
        <v>4060</v>
      </c>
      <c r="F12" s="20" t="s">
        <v>148</v>
      </c>
      <c r="G12" s="42">
        <v>3500</v>
      </c>
      <c r="H12" s="42">
        <f t="shared" si="2"/>
        <v>560</v>
      </c>
      <c r="I12" s="43">
        <v>0</v>
      </c>
      <c r="J12" s="49" t="s">
        <v>148</v>
      </c>
      <c r="K12" s="45">
        <v>3500</v>
      </c>
      <c r="L12" s="45">
        <f t="shared" si="5"/>
        <v>560</v>
      </c>
      <c r="M12" s="45">
        <v>0</v>
      </c>
      <c r="N12" s="20" t="s">
        <v>148</v>
      </c>
      <c r="O12" s="45">
        <v>3500</v>
      </c>
      <c r="P12" s="53">
        <f t="shared" si="0"/>
        <v>560</v>
      </c>
      <c r="Q12" s="20">
        <v>0</v>
      </c>
      <c r="R12" s="20" t="s">
        <v>148</v>
      </c>
      <c r="S12" s="55">
        <v>3500</v>
      </c>
      <c r="T12" s="55">
        <f t="shared" si="8"/>
        <v>560</v>
      </c>
      <c r="U12" s="55">
        <v>0</v>
      </c>
      <c r="V12" s="20" t="s">
        <v>148</v>
      </c>
      <c r="W12" s="56">
        <v>3500</v>
      </c>
      <c r="X12" s="56">
        <v>0</v>
      </c>
      <c r="Y12" s="56">
        <v>0</v>
      </c>
      <c r="Z12" s="20" t="s">
        <v>148</v>
      </c>
      <c r="AA12" s="57">
        <v>3500</v>
      </c>
      <c r="AB12" s="57">
        <f t="shared" si="1"/>
        <v>560</v>
      </c>
      <c r="AC12" s="58">
        <v>0</v>
      </c>
    </row>
    <row r="13" spans="1:29" ht="42.75" customHeight="1" x14ac:dyDescent="0.3">
      <c r="A13" s="121" t="s">
        <v>162</v>
      </c>
      <c r="B13" s="19">
        <v>1</v>
      </c>
      <c r="C13" s="41">
        <v>3400</v>
      </c>
      <c r="D13" s="41">
        <f t="shared" si="9"/>
        <v>544</v>
      </c>
      <c r="E13" s="44">
        <f t="shared" si="7"/>
        <v>3944</v>
      </c>
      <c r="F13" s="20" t="s">
        <v>148</v>
      </c>
      <c r="G13" s="42">
        <v>3400</v>
      </c>
      <c r="H13" s="42">
        <f t="shared" si="2"/>
        <v>544</v>
      </c>
      <c r="I13" s="43">
        <v>0</v>
      </c>
      <c r="J13" s="49" t="s">
        <v>148</v>
      </c>
      <c r="K13" s="45">
        <v>3400</v>
      </c>
      <c r="L13" s="45">
        <f t="shared" si="5"/>
        <v>544</v>
      </c>
      <c r="M13" s="45">
        <v>0</v>
      </c>
      <c r="N13" s="20" t="s">
        <v>148</v>
      </c>
      <c r="O13" s="45">
        <v>3400</v>
      </c>
      <c r="P13" s="53">
        <f t="shared" si="0"/>
        <v>544</v>
      </c>
      <c r="Q13" s="20">
        <v>0</v>
      </c>
      <c r="R13" s="20" t="s">
        <v>148</v>
      </c>
      <c r="S13" s="55">
        <v>3400</v>
      </c>
      <c r="T13" s="55">
        <f t="shared" si="8"/>
        <v>544</v>
      </c>
      <c r="U13" s="55">
        <v>0</v>
      </c>
      <c r="V13" s="20" t="s">
        <v>148</v>
      </c>
      <c r="W13" s="56">
        <v>3400</v>
      </c>
      <c r="X13" s="56">
        <v>0</v>
      </c>
      <c r="Y13" s="56">
        <v>0</v>
      </c>
      <c r="Z13" s="20" t="s">
        <v>148</v>
      </c>
      <c r="AA13" s="57">
        <v>3400</v>
      </c>
      <c r="AB13" s="57">
        <f t="shared" si="1"/>
        <v>544</v>
      </c>
      <c r="AC13" s="58">
        <v>0</v>
      </c>
    </row>
    <row r="14" spans="1:29" ht="27" x14ac:dyDescent="0.3">
      <c r="A14" s="121" t="s">
        <v>163</v>
      </c>
      <c r="B14" s="19">
        <v>2</v>
      </c>
      <c r="C14" s="41">
        <v>7500</v>
      </c>
      <c r="D14" s="41">
        <f t="shared" si="9"/>
        <v>1200</v>
      </c>
      <c r="E14" s="44">
        <f t="shared" si="7"/>
        <v>17400</v>
      </c>
      <c r="F14" s="20" t="s">
        <v>148</v>
      </c>
      <c r="G14" s="42">
        <v>7500</v>
      </c>
      <c r="H14" s="42">
        <f t="shared" si="2"/>
        <v>1200</v>
      </c>
      <c r="I14" s="43">
        <v>0</v>
      </c>
      <c r="J14" s="49" t="s">
        <v>148</v>
      </c>
      <c r="K14" s="45">
        <v>7500</v>
      </c>
      <c r="L14" s="45">
        <f t="shared" si="5"/>
        <v>1200</v>
      </c>
      <c r="M14" s="45">
        <v>0</v>
      </c>
      <c r="N14" s="20" t="s">
        <v>148</v>
      </c>
      <c r="O14" s="45">
        <v>7500</v>
      </c>
      <c r="P14" s="53">
        <f t="shared" si="0"/>
        <v>1200</v>
      </c>
      <c r="Q14" s="20">
        <v>0</v>
      </c>
      <c r="R14" s="20" t="s">
        <v>148</v>
      </c>
      <c r="S14" s="55">
        <v>7500</v>
      </c>
      <c r="T14" s="55">
        <f t="shared" si="8"/>
        <v>1200</v>
      </c>
      <c r="U14" s="55">
        <v>0</v>
      </c>
      <c r="V14" s="20" t="s">
        <v>148</v>
      </c>
      <c r="W14" s="56">
        <v>7500</v>
      </c>
      <c r="X14" s="56">
        <v>0</v>
      </c>
      <c r="Y14" s="56">
        <v>0</v>
      </c>
      <c r="Z14" s="20" t="s">
        <v>148</v>
      </c>
      <c r="AA14" s="57">
        <v>7500</v>
      </c>
      <c r="AB14" s="57">
        <f t="shared" si="1"/>
        <v>1200</v>
      </c>
      <c r="AC14" s="58">
        <v>0</v>
      </c>
    </row>
    <row r="15" spans="1:29" ht="40.5" x14ac:dyDescent="0.3">
      <c r="A15" s="121" t="s">
        <v>164</v>
      </c>
      <c r="B15" s="19">
        <v>1</v>
      </c>
      <c r="C15" s="41">
        <v>5600</v>
      </c>
      <c r="D15" s="41">
        <f t="shared" si="9"/>
        <v>896</v>
      </c>
      <c r="E15" s="44">
        <f t="shared" si="7"/>
        <v>6496</v>
      </c>
      <c r="F15" s="20" t="s">
        <v>148</v>
      </c>
      <c r="G15" s="42">
        <v>5600</v>
      </c>
      <c r="H15" s="42">
        <f t="shared" si="2"/>
        <v>896</v>
      </c>
      <c r="I15" s="43">
        <v>0</v>
      </c>
      <c r="J15" s="49" t="s">
        <v>148</v>
      </c>
      <c r="K15" s="45">
        <v>5600</v>
      </c>
      <c r="L15" s="45">
        <f t="shared" si="5"/>
        <v>896</v>
      </c>
      <c r="M15" s="45">
        <v>0</v>
      </c>
      <c r="N15" s="20" t="s">
        <v>148</v>
      </c>
      <c r="O15" s="45">
        <v>5600</v>
      </c>
      <c r="P15" s="20"/>
      <c r="Q15" s="20">
        <v>0</v>
      </c>
      <c r="R15" s="20" t="s">
        <v>148</v>
      </c>
      <c r="S15" s="55">
        <v>5600</v>
      </c>
      <c r="T15" s="55">
        <f t="shared" si="8"/>
        <v>896</v>
      </c>
      <c r="U15" s="55">
        <v>0</v>
      </c>
      <c r="V15" s="20" t="s">
        <v>148</v>
      </c>
      <c r="W15" s="56">
        <v>5600</v>
      </c>
      <c r="X15" s="56">
        <v>0</v>
      </c>
      <c r="Y15" s="56">
        <v>0</v>
      </c>
      <c r="Z15" s="20" t="s">
        <v>148</v>
      </c>
      <c r="AA15" s="57">
        <v>5600</v>
      </c>
      <c r="AB15" s="57">
        <f t="shared" si="1"/>
        <v>896</v>
      </c>
      <c r="AC15" s="58">
        <v>0</v>
      </c>
    </row>
    <row r="16" spans="1:29" ht="16.5" customHeight="1" x14ac:dyDescent="0.3">
      <c r="A16" s="121" t="s">
        <v>165</v>
      </c>
      <c r="B16" s="19">
        <v>2</v>
      </c>
      <c r="C16" s="41">
        <v>2400</v>
      </c>
      <c r="D16" s="41">
        <f t="shared" si="9"/>
        <v>384</v>
      </c>
      <c r="E16" s="44">
        <f t="shared" si="7"/>
        <v>5568</v>
      </c>
      <c r="F16" s="20">
        <v>1</v>
      </c>
      <c r="G16" s="42">
        <v>2400</v>
      </c>
      <c r="H16" s="42">
        <f t="shared" si="2"/>
        <v>384</v>
      </c>
      <c r="I16" s="42">
        <f>SUM(G16+H16*F16)</f>
        <v>2784</v>
      </c>
      <c r="J16" s="49">
        <v>1</v>
      </c>
      <c r="K16" s="45">
        <v>2400</v>
      </c>
      <c r="L16" s="45">
        <f t="shared" si="5"/>
        <v>384</v>
      </c>
      <c r="M16" s="45">
        <f>SUM(K16+L16)*J16</f>
        <v>2784</v>
      </c>
      <c r="N16" s="20">
        <v>1</v>
      </c>
      <c r="O16" s="45">
        <v>2400</v>
      </c>
      <c r="P16" s="53">
        <f>SUM(O16*16%)</f>
        <v>384</v>
      </c>
      <c r="Q16" s="53">
        <f>SUM(O16:P16)*N16</f>
        <v>2784</v>
      </c>
      <c r="R16" s="20">
        <v>1</v>
      </c>
      <c r="S16" s="55">
        <v>2400</v>
      </c>
      <c r="T16" s="55">
        <f t="shared" si="8"/>
        <v>384</v>
      </c>
      <c r="U16" s="55">
        <f t="shared" si="11"/>
        <v>2784</v>
      </c>
      <c r="V16" s="20">
        <v>2</v>
      </c>
      <c r="W16" s="56">
        <v>2400</v>
      </c>
      <c r="X16" s="56"/>
      <c r="Y16" s="56">
        <f t="shared" si="4"/>
        <v>4800</v>
      </c>
      <c r="Z16" s="20" t="s">
        <v>153</v>
      </c>
      <c r="AA16" s="57">
        <v>2400</v>
      </c>
      <c r="AB16" s="57">
        <f t="shared" si="1"/>
        <v>384</v>
      </c>
      <c r="AC16" s="59">
        <f>SUM(AA16:AB16)*22</f>
        <v>61248</v>
      </c>
    </row>
    <row r="17" spans="1:30" ht="16.5" customHeight="1" x14ac:dyDescent="0.3">
      <c r="A17" s="121" t="s">
        <v>166</v>
      </c>
      <c r="B17" s="19">
        <v>1</v>
      </c>
      <c r="C17" s="41">
        <v>5000</v>
      </c>
      <c r="D17" s="41">
        <f t="shared" si="9"/>
        <v>800</v>
      </c>
      <c r="E17" s="44">
        <f t="shared" si="7"/>
        <v>5800</v>
      </c>
      <c r="F17" s="20" t="s">
        <v>148</v>
      </c>
      <c r="G17" s="42">
        <v>5000</v>
      </c>
      <c r="H17" s="42">
        <f t="shared" si="2"/>
        <v>800</v>
      </c>
      <c r="I17" s="43">
        <v>0</v>
      </c>
      <c r="J17" s="49" t="s">
        <v>148</v>
      </c>
      <c r="K17" s="45">
        <v>5000</v>
      </c>
      <c r="L17" s="45">
        <f t="shared" si="5"/>
        <v>800</v>
      </c>
      <c r="M17" s="45">
        <v>0</v>
      </c>
      <c r="N17" s="20" t="s">
        <v>148</v>
      </c>
      <c r="O17" s="45">
        <v>5000</v>
      </c>
      <c r="P17" s="53">
        <f t="shared" ref="P17:P20" si="12">SUM(O17*16%)</f>
        <v>800</v>
      </c>
      <c r="Q17" s="20">
        <v>0</v>
      </c>
      <c r="R17" s="20" t="s">
        <v>148</v>
      </c>
      <c r="S17" s="55">
        <v>5000</v>
      </c>
      <c r="T17" s="55">
        <f t="shared" si="8"/>
        <v>800</v>
      </c>
      <c r="U17" s="55">
        <v>0</v>
      </c>
      <c r="V17" s="20" t="s">
        <v>148</v>
      </c>
      <c r="W17" s="56">
        <v>5000</v>
      </c>
      <c r="X17" s="56">
        <v>0</v>
      </c>
      <c r="Y17" s="56">
        <v>0</v>
      </c>
      <c r="Z17" s="20" t="s">
        <v>148</v>
      </c>
      <c r="AA17" s="57">
        <v>5000</v>
      </c>
      <c r="AB17" s="57">
        <f t="shared" si="1"/>
        <v>800</v>
      </c>
      <c r="AC17" s="58">
        <v>0</v>
      </c>
    </row>
    <row r="18" spans="1:30" ht="16.5" customHeight="1" x14ac:dyDescent="0.3">
      <c r="A18" s="121" t="s">
        <v>167</v>
      </c>
      <c r="B18" s="19">
        <v>1</v>
      </c>
      <c r="C18" s="41">
        <v>4800</v>
      </c>
      <c r="D18" s="41">
        <f t="shared" si="9"/>
        <v>768</v>
      </c>
      <c r="E18" s="44">
        <f t="shared" si="7"/>
        <v>5568</v>
      </c>
      <c r="F18" s="20" t="s">
        <v>148</v>
      </c>
      <c r="G18" s="42">
        <v>4800</v>
      </c>
      <c r="H18" s="42">
        <f t="shared" si="2"/>
        <v>768</v>
      </c>
      <c r="I18" s="42">
        <v>0</v>
      </c>
      <c r="J18" s="49" t="s">
        <v>148</v>
      </c>
      <c r="K18" s="45">
        <v>4800</v>
      </c>
      <c r="L18" s="45">
        <f t="shared" si="5"/>
        <v>768</v>
      </c>
      <c r="M18" s="45">
        <v>0</v>
      </c>
      <c r="N18" s="20" t="s">
        <v>148</v>
      </c>
      <c r="O18" s="45">
        <v>4800</v>
      </c>
      <c r="P18" s="53">
        <f t="shared" si="12"/>
        <v>768</v>
      </c>
      <c r="Q18" s="20">
        <v>0</v>
      </c>
      <c r="R18" s="20" t="s">
        <v>148</v>
      </c>
      <c r="S18" s="55">
        <v>4800</v>
      </c>
      <c r="T18" s="55">
        <f t="shared" si="8"/>
        <v>768</v>
      </c>
      <c r="U18" s="55">
        <v>0</v>
      </c>
      <c r="V18" s="20" t="s">
        <v>148</v>
      </c>
      <c r="W18" s="56">
        <v>4800</v>
      </c>
      <c r="X18" s="56">
        <v>0</v>
      </c>
      <c r="Y18" s="56">
        <v>0</v>
      </c>
      <c r="Z18" s="20" t="s">
        <v>148</v>
      </c>
      <c r="AA18" s="57">
        <v>4800</v>
      </c>
      <c r="AB18" s="57">
        <f t="shared" si="1"/>
        <v>768</v>
      </c>
      <c r="AC18" s="58">
        <v>0</v>
      </c>
    </row>
    <row r="19" spans="1:30" ht="16.5" customHeight="1" x14ac:dyDescent="0.3">
      <c r="A19" s="121" t="s">
        <v>168</v>
      </c>
      <c r="B19" s="19">
        <v>9</v>
      </c>
      <c r="C19" s="41">
        <v>1200</v>
      </c>
      <c r="D19" s="41">
        <f t="shared" si="9"/>
        <v>192</v>
      </c>
      <c r="E19" s="44">
        <f t="shared" si="7"/>
        <v>12528</v>
      </c>
      <c r="F19" s="20">
        <v>1</v>
      </c>
      <c r="G19" s="42">
        <v>1200</v>
      </c>
      <c r="H19" s="42">
        <f t="shared" si="2"/>
        <v>192</v>
      </c>
      <c r="I19" s="42">
        <f>SUM(G19+H19)*F19</f>
        <v>1392</v>
      </c>
      <c r="J19" s="49">
        <v>1</v>
      </c>
      <c r="K19" s="45">
        <v>1200</v>
      </c>
      <c r="L19" s="45">
        <f t="shared" si="5"/>
        <v>192</v>
      </c>
      <c r="M19" s="45">
        <f>SUM(K19+L19)*J19</f>
        <v>1392</v>
      </c>
      <c r="N19" s="20">
        <v>1</v>
      </c>
      <c r="O19" s="45">
        <v>1200</v>
      </c>
      <c r="P19" s="53">
        <f t="shared" si="12"/>
        <v>192</v>
      </c>
      <c r="Q19" s="53">
        <f>SUM(O19:P19)*N19</f>
        <v>1392</v>
      </c>
      <c r="R19" s="20">
        <v>1</v>
      </c>
      <c r="S19" s="55">
        <v>1200</v>
      </c>
      <c r="T19" s="55">
        <v>192</v>
      </c>
      <c r="U19" s="55">
        <f t="shared" si="11"/>
        <v>1392</v>
      </c>
      <c r="V19" s="20">
        <v>2</v>
      </c>
      <c r="W19" s="56">
        <v>1200</v>
      </c>
      <c r="X19" s="56">
        <v>0</v>
      </c>
      <c r="Y19" s="56">
        <f t="shared" si="4"/>
        <v>2400</v>
      </c>
      <c r="Z19" s="20" t="s">
        <v>153</v>
      </c>
      <c r="AA19" s="57">
        <v>1200</v>
      </c>
      <c r="AB19" s="57">
        <f t="shared" si="1"/>
        <v>192</v>
      </c>
      <c r="AC19" s="59">
        <f>SUM(AA19:AB19)*22</f>
        <v>30624</v>
      </c>
    </row>
    <row r="20" spans="1:30" x14ac:dyDescent="0.3">
      <c r="A20" s="121" t="s">
        <v>169</v>
      </c>
      <c r="B20" s="19">
        <v>1</v>
      </c>
      <c r="C20" s="41">
        <v>3500</v>
      </c>
      <c r="D20" s="41">
        <f t="shared" si="9"/>
        <v>560</v>
      </c>
      <c r="E20" s="44">
        <f t="shared" si="7"/>
        <v>4060</v>
      </c>
      <c r="F20" s="20" t="s">
        <v>148</v>
      </c>
      <c r="G20" s="42">
        <v>3500</v>
      </c>
      <c r="H20" s="42">
        <f t="shared" si="2"/>
        <v>560</v>
      </c>
      <c r="I20" s="42">
        <v>0</v>
      </c>
      <c r="J20" s="49" t="s">
        <v>148</v>
      </c>
      <c r="K20" s="45">
        <v>3500</v>
      </c>
      <c r="L20" s="45">
        <f t="shared" si="5"/>
        <v>560</v>
      </c>
      <c r="M20" s="45">
        <v>0</v>
      </c>
      <c r="N20" s="20" t="s">
        <v>148</v>
      </c>
      <c r="O20" s="45">
        <v>3500</v>
      </c>
      <c r="P20" s="53">
        <f t="shared" si="12"/>
        <v>560</v>
      </c>
      <c r="Q20" s="20">
        <v>0</v>
      </c>
      <c r="R20" s="20" t="s">
        <v>148</v>
      </c>
      <c r="S20" s="55">
        <v>3500</v>
      </c>
      <c r="T20" s="55">
        <f t="shared" si="8"/>
        <v>560</v>
      </c>
      <c r="U20" s="55">
        <v>0</v>
      </c>
      <c r="V20" s="20" t="s">
        <v>148</v>
      </c>
      <c r="W20" s="56">
        <v>3500</v>
      </c>
      <c r="X20" s="56">
        <v>0</v>
      </c>
      <c r="Y20" s="56">
        <v>0</v>
      </c>
      <c r="Z20" s="20" t="s">
        <v>148</v>
      </c>
      <c r="AA20" s="57">
        <v>3500</v>
      </c>
      <c r="AB20" s="57">
        <f t="shared" si="1"/>
        <v>560</v>
      </c>
      <c r="AC20" s="58">
        <v>0</v>
      </c>
    </row>
    <row r="21" spans="1:30" ht="98.25" customHeight="1" x14ac:dyDescent="0.3">
      <c r="A21" s="21"/>
      <c r="B21" s="14"/>
      <c r="C21" s="14"/>
      <c r="D21" s="22" t="s">
        <v>194</v>
      </c>
      <c r="E21" s="46">
        <f>SUM(E3:E20)*8</f>
        <v>3492064</v>
      </c>
      <c r="F21" s="14"/>
      <c r="G21" s="14"/>
      <c r="H21" s="22" t="s">
        <v>194</v>
      </c>
      <c r="I21" s="46">
        <f>SUM(I3:I20)*8</f>
        <v>142912</v>
      </c>
      <c r="J21" s="50"/>
      <c r="K21" s="51"/>
      <c r="L21" s="52" t="s">
        <v>194</v>
      </c>
      <c r="M21" s="46">
        <f>SUM(M3:M20)*8</f>
        <v>142912</v>
      </c>
      <c r="N21" s="15"/>
      <c r="O21" s="15"/>
      <c r="P21" s="22" t="s">
        <v>194</v>
      </c>
      <c r="Q21" s="46">
        <f>SUM(Q3:Q20)*8</f>
        <v>118784</v>
      </c>
      <c r="R21" s="15"/>
      <c r="S21" s="15"/>
      <c r="T21" s="22" t="s">
        <v>194</v>
      </c>
      <c r="U21" s="46">
        <f>SUM(U3:U20)*8</f>
        <v>142912</v>
      </c>
      <c r="V21" s="21"/>
      <c r="W21" s="21"/>
      <c r="X21" s="22" t="s">
        <v>194</v>
      </c>
      <c r="Y21" s="46">
        <f>SUM(Y3:Y20)*8</f>
        <v>168000</v>
      </c>
      <c r="Z21" s="15"/>
      <c r="AA21" s="15"/>
      <c r="AB21" s="22" t="s">
        <v>194</v>
      </c>
      <c r="AC21" s="46">
        <f>SUM(AC3:AC20)*8</f>
        <v>2143688</v>
      </c>
    </row>
    <row r="22" spans="1:30" ht="106.5" customHeight="1" x14ac:dyDescent="0.3">
      <c r="A22" s="21"/>
      <c r="B22" s="14"/>
      <c r="C22" s="14"/>
      <c r="D22" s="22" t="s">
        <v>198</v>
      </c>
      <c r="E22" s="46">
        <f>SUM(((E21/8)*12)*3.66%)+((E21/8)*12)</f>
        <v>5429810.3136</v>
      </c>
      <c r="F22" s="14"/>
      <c r="G22" s="14"/>
      <c r="H22" s="22" t="s">
        <v>198</v>
      </c>
      <c r="I22" s="46">
        <f>SUM(((I21/8)*12)*3.66%)+((I21/8)*12)</f>
        <v>222213.8688</v>
      </c>
      <c r="J22" s="50"/>
      <c r="K22" s="51"/>
      <c r="L22" s="52" t="s">
        <v>198</v>
      </c>
      <c r="M22" s="46">
        <f>SUM(((M21/8)*12)*3.66%)+((M21/8)*12)</f>
        <v>222213.8688</v>
      </c>
      <c r="N22" s="15"/>
      <c r="O22" s="15"/>
      <c r="P22" s="22" t="s">
        <v>198</v>
      </c>
      <c r="Q22" s="46">
        <f>SUM(((Q21/8)*12)*3.66%)+((Q21/8)*12)</f>
        <v>184697.24160000001</v>
      </c>
      <c r="R22" s="15"/>
      <c r="S22" s="15"/>
      <c r="T22" s="22" t="s">
        <v>198</v>
      </c>
      <c r="U22" s="46">
        <f>SUM(((U21/8)*12)*3.66%)+((U21/8)*12)</f>
        <v>222213.8688</v>
      </c>
      <c r="V22" s="21"/>
      <c r="W22" s="21"/>
      <c r="X22" s="22" t="s">
        <v>198</v>
      </c>
      <c r="Y22" s="46">
        <f>SUM(((Y21/8)*12)*3.66%)+((Y21/8)*12)</f>
        <v>261223.2</v>
      </c>
      <c r="Z22" s="15"/>
      <c r="AA22" s="15"/>
      <c r="AB22" s="22" t="s">
        <v>198</v>
      </c>
      <c r="AC22" s="46">
        <f>SUM(((AC21/8)*12)*3.66%)+((AC21/8)*12)</f>
        <v>3333220.4712</v>
      </c>
    </row>
    <row r="23" spans="1:30" ht="121.5" customHeight="1" x14ac:dyDescent="0.3">
      <c r="A23" s="21"/>
      <c r="B23" s="14"/>
      <c r="C23" s="14"/>
      <c r="D23" s="22" t="s">
        <v>199</v>
      </c>
      <c r="E23" s="46">
        <f>SUM(((E22/12)*4)*3.66%)+((E22/12)*4)</f>
        <v>1876180.45702592</v>
      </c>
      <c r="F23" s="14"/>
      <c r="G23" s="14"/>
      <c r="H23" s="22" t="s">
        <v>199</v>
      </c>
      <c r="I23" s="46">
        <f>SUM(((I22/12)*4)*3.66%)+((I22/12)*4)</f>
        <v>76782.298799360011</v>
      </c>
      <c r="J23" s="50"/>
      <c r="K23" s="51"/>
      <c r="L23" s="52" t="s">
        <v>199</v>
      </c>
      <c r="M23" s="46">
        <f>SUM(((M22/12)*4)*3.66%)+((M22/12)*4)</f>
        <v>76782.298799360011</v>
      </c>
      <c r="N23" s="15"/>
      <c r="O23" s="15"/>
      <c r="P23" s="22" t="s">
        <v>199</v>
      </c>
      <c r="Q23" s="46">
        <f>SUM(((Q22/12)*4)*3.66%)+((Q22/12)*4)</f>
        <v>63819.053547520009</v>
      </c>
      <c r="R23" s="15"/>
      <c r="S23" s="15"/>
      <c r="T23" s="22" t="s">
        <v>199</v>
      </c>
      <c r="U23" s="46">
        <f>SUM(((U22/12)*4)*3.66%)+((U22/12)*4)</f>
        <v>76782.298799360011</v>
      </c>
      <c r="V23" s="21"/>
      <c r="W23" s="21"/>
      <c r="X23" s="22" t="s">
        <v>199</v>
      </c>
      <c r="Y23" s="46">
        <f>SUM(((Y22/12)*4)*3.66%)+((Y22/12)*4)</f>
        <v>90261.323040000003</v>
      </c>
      <c r="Z23" s="15"/>
      <c r="AA23" s="15"/>
      <c r="AB23" s="22" t="s">
        <v>199</v>
      </c>
      <c r="AC23" s="46">
        <f>SUM(((AC22/12)*4)*3.66%)+((AC22/12)*4)</f>
        <v>1151738.78014864</v>
      </c>
    </row>
    <row r="24" spans="1:30" ht="93" customHeight="1" x14ac:dyDescent="0.3">
      <c r="A24" s="21"/>
      <c r="B24" s="14"/>
      <c r="C24" s="14"/>
      <c r="D24" s="22" t="s">
        <v>195</v>
      </c>
      <c r="E24" s="46">
        <f>SUM(E21:E23)</f>
        <v>10798054.770625919</v>
      </c>
      <c r="F24" s="14"/>
      <c r="G24" s="14"/>
      <c r="H24" s="22" t="s">
        <v>195</v>
      </c>
      <c r="I24" s="46">
        <f>SUM(I21:I23)</f>
        <v>441908.16759935999</v>
      </c>
      <c r="J24" s="50"/>
      <c r="K24" s="51"/>
      <c r="L24" s="52" t="s">
        <v>195</v>
      </c>
      <c r="M24" s="46">
        <f>SUM(M21:M23)</f>
        <v>441908.16759935999</v>
      </c>
      <c r="N24" s="14"/>
      <c r="O24" s="14"/>
      <c r="P24" s="22" t="s">
        <v>195</v>
      </c>
      <c r="Q24" s="46">
        <f>SUM(Q21:Q23)</f>
        <v>367300.29514752002</v>
      </c>
      <c r="R24" s="14"/>
      <c r="S24" s="14"/>
      <c r="T24" s="22" t="s">
        <v>195</v>
      </c>
      <c r="U24" s="46">
        <f>SUM(U21:U23)</f>
        <v>441908.16759935999</v>
      </c>
      <c r="V24" s="14"/>
      <c r="W24" s="14"/>
      <c r="X24" s="22" t="s">
        <v>195</v>
      </c>
      <c r="Y24" s="46">
        <f>SUM(Y21:Y23)</f>
        <v>519484.52304</v>
      </c>
      <c r="Z24" s="14"/>
      <c r="AA24" s="15"/>
      <c r="AB24" s="22" t="s">
        <v>195</v>
      </c>
      <c r="AC24" s="46">
        <f>SUM(AC21:AC23)</f>
        <v>6628647.2513486408</v>
      </c>
    </row>
    <row r="25" spans="1:30" ht="16.5" customHeight="1" x14ac:dyDescent="0.3">
      <c r="A25" s="14"/>
      <c r="B25" s="14"/>
      <c r="C25" s="14"/>
      <c r="D25" s="23"/>
      <c r="E25" s="14"/>
      <c r="F25" s="14"/>
      <c r="G25" s="14"/>
      <c r="H25" s="14"/>
      <c r="I25" s="14"/>
      <c r="J25" s="14"/>
      <c r="K25" s="14"/>
      <c r="L25" s="14"/>
      <c r="M25" s="14"/>
      <c r="N25" s="14"/>
      <c r="O25" s="14"/>
      <c r="P25" s="14"/>
      <c r="Q25" s="14"/>
      <c r="R25" s="14"/>
      <c r="S25" s="14"/>
      <c r="T25" s="14"/>
      <c r="U25" s="14"/>
      <c r="V25" s="14"/>
      <c r="W25" s="14"/>
      <c r="X25" s="14"/>
      <c r="Y25" s="14"/>
      <c r="Z25" s="14"/>
      <c r="AA25" s="15"/>
      <c r="AB25" s="14"/>
      <c r="AC25" s="24"/>
    </row>
    <row r="26" spans="1:30" s="124" customFormat="1" ht="21.75" customHeight="1" x14ac:dyDescent="0.3">
      <c r="A26" s="122"/>
      <c r="B26" s="122"/>
      <c r="C26" s="122"/>
      <c r="D26" s="216" t="s">
        <v>200</v>
      </c>
      <c r="E26" s="216"/>
      <c r="F26" s="216"/>
      <c r="G26" s="216"/>
      <c r="H26" s="216"/>
      <c r="I26" s="216"/>
      <c r="J26" s="216"/>
      <c r="K26" s="216"/>
      <c r="L26" s="216"/>
      <c r="M26" s="216"/>
      <c r="N26" s="216"/>
      <c r="O26" s="216"/>
      <c r="P26" s="216"/>
      <c r="Q26" s="226">
        <f>SUM(E24+I24+M24+Q24+U24+Y24+AC24)</f>
        <v>19639211.342960157</v>
      </c>
      <c r="R26" s="227"/>
      <c r="S26" s="227"/>
      <c r="T26" s="227"/>
      <c r="U26" s="227"/>
      <c r="V26" s="227"/>
      <c r="W26" s="227"/>
      <c r="X26" s="227"/>
      <c r="Y26" s="227"/>
      <c r="Z26" s="227"/>
      <c r="AA26" s="227"/>
      <c r="AB26" s="227"/>
      <c r="AC26" s="228"/>
      <c r="AD26" s="123"/>
    </row>
    <row r="27" spans="1:30" x14ac:dyDescent="0.3">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5"/>
      <c r="AB27" s="14"/>
    </row>
    <row r="28" spans="1:30" x14ac:dyDescent="0.3">
      <c r="A28" s="200" t="s">
        <v>178</v>
      </c>
      <c r="B28" s="200"/>
      <c r="C28" s="200"/>
      <c r="D28" s="200"/>
      <c r="E28" s="200"/>
      <c r="F28" s="200"/>
      <c r="G28" s="200"/>
      <c r="H28" s="200"/>
      <c r="I28" s="200"/>
      <c r="J28" s="200"/>
      <c r="K28" s="200"/>
      <c r="L28" s="200"/>
      <c r="M28" s="200"/>
      <c r="N28" s="200"/>
      <c r="O28" s="200"/>
      <c r="P28" s="200"/>
      <c r="Q28" s="200"/>
    </row>
    <row r="29" spans="1:30" x14ac:dyDescent="0.3">
      <c r="A29" s="200"/>
      <c r="B29" s="200"/>
      <c r="C29" s="200"/>
      <c r="D29" s="200"/>
      <c r="E29" s="200"/>
      <c r="F29" s="200"/>
      <c r="G29" s="200"/>
      <c r="H29" s="200"/>
      <c r="I29" s="200"/>
      <c r="J29" s="200"/>
      <c r="K29" s="200"/>
      <c r="L29" s="200"/>
      <c r="M29" s="200"/>
      <c r="N29" s="200"/>
      <c r="O29" s="200"/>
      <c r="P29" s="200"/>
      <c r="Q29" s="200"/>
    </row>
    <row r="30" spans="1:30" x14ac:dyDescent="0.3">
      <c r="A30" s="1"/>
      <c r="B30" s="1"/>
      <c r="C30" s="1"/>
      <c r="D30" s="1"/>
      <c r="E30" s="1"/>
      <c r="F30" s="1"/>
      <c r="G30" s="1"/>
      <c r="H30" s="1"/>
      <c r="I30" s="10"/>
      <c r="J30" s="10"/>
      <c r="K30" s="10"/>
      <c r="L30" s="10"/>
      <c r="M30" s="10"/>
      <c r="N30" s="10"/>
      <c r="O30" s="10"/>
      <c r="P30" s="10"/>
      <c r="Q30" s="10"/>
    </row>
    <row r="31" spans="1:30" ht="81" x14ac:dyDescent="0.3">
      <c r="A31" s="30" t="s">
        <v>175</v>
      </c>
      <c r="B31" s="201" t="s">
        <v>176</v>
      </c>
      <c r="C31" s="201"/>
      <c r="D31" s="201"/>
      <c r="E31" s="201"/>
      <c r="F31" s="201"/>
      <c r="G31" s="201"/>
      <c r="H31" s="28" t="s">
        <v>177</v>
      </c>
      <c r="I31" s="10"/>
      <c r="J31" s="10"/>
      <c r="K31" s="10"/>
      <c r="L31" s="10"/>
      <c r="M31" s="10"/>
      <c r="N31" s="10"/>
      <c r="O31" s="10"/>
      <c r="P31" s="10"/>
      <c r="Q31" s="10"/>
    </row>
    <row r="32" spans="1:30" x14ac:dyDescent="0.3">
      <c r="A32" s="29"/>
      <c r="B32" s="219"/>
      <c r="C32" s="219"/>
      <c r="D32" s="219"/>
      <c r="E32" s="219"/>
      <c r="F32" s="219"/>
      <c r="G32" s="219"/>
      <c r="H32" s="2"/>
      <c r="I32" s="10"/>
      <c r="J32" s="10"/>
      <c r="K32" s="10"/>
      <c r="L32" s="10"/>
      <c r="M32" s="10"/>
      <c r="N32" s="10"/>
      <c r="O32" s="10"/>
      <c r="P32" s="10"/>
      <c r="Q32" s="10"/>
    </row>
    <row r="34" spans="1:17" x14ac:dyDescent="0.3">
      <c r="A34" s="203" t="s">
        <v>179</v>
      </c>
      <c r="B34" s="203"/>
      <c r="C34" s="203"/>
      <c r="D34" s="203"/>
      <c r="E34" s="203"/>
      <c r="F34" s="203"/>
      <c r="G34" s="203"/>
      <c r="H34" s="203"/>
      <c r="I34" s="203"/>
      <c r="J34" s="203"/>
      <c r="K34" s="203"/>
      <c r="L34" s="203"/>
      <c r="M34" s="203"/>
      <c r="N34" s="203"/>
      <c r="O34" s="203"/>
      <c r="P34" s="203"/>
      <c r="Q34" s="203"/>
    </row>
    <row r="35" spans="1:17" ht="16.5" customHeight="1" x14ac:dyDescent="0.3"/>
    <row r="36" spans="1:17" x14ac:dyDescent="0.3">
      <c r="A36" s="218" t="s">
        <v>236</v>
      </c>
      <c r="B36" s="218"/>
      <c r="C36" s="218"/>
      <c r="D36" s="218"/>
      <c r="E36" s="218"/>
      <c r="F36" s="218"/>
      <c r="G36" s="218"/>
      <c r="H36" s="218"/>
      <c r="I36" s="218"/>
      <c r="J36" s="218"/>
      <c r="K36" s="218"/>
      <c r="L36" s="218"/>
      <c r="M36" s="218"/>
      <c r="N36" s="218"/>
      <c r="O36" s="218"/>
      <c r="P36" s="218"/>
      <c r="Q36" s="218"/>
    </row>
    <row r="37" spans="1:17" x14ac:dyDescent="0.3">
      <c r="A37" s="218" t="s">
        <v>237</v>
      </c>
      <c r="B37" s="218"/>
      <c r="C37" s="218"/>
      <c r="D37" s="218"/>
      <c r="E37" s="218"/>
      <c r="F37" s="218"/>
      <c r="G37" s="218"/>
      <c r="H37" s="218"/>
      <c r="I37" s="218"/>
      <c r="J37" s="218"/>
      <c r="K37" s="218"/>
      <c r="L37" s="218"/>
      <c r="M37" s="218"/>
      <c r="N37" s="218"/>
      <c r="O37" s="218"/>
      <c r="P37" s="218"/>
      <c r="Q37" s="218"/>
    </row>
    <row r="38" spans="1:17" ht="60.75" customHeight="1" x14ac:dyDescent="0.3">
      <c r="A38" s="269" t="s">
        <v>249</v>
      </c>
      <c r="B38" s="269"/>
      <c r="C38" s="269"/>
      <c r="D38" s="269"/>
      <c r="E38" s="269"/>
      <c r="F38" s="269"/>
      <c r="G38" s="269"/>
      <c r="H38" s="269"/>
      <c r="I38" s="269"/>
      <c r="J38" s="269"/>
      <c r="K38" s="269"/>
      <c r="L38" s="269"/>
      <c r="M38" s="269"/>
      <c r="N38" s="269"/>
      <c r="O38" s="269"/>
      <c r="P38" s="269"/>
      <c r="Q38" s="269"/>
    </row>
    <row r="39" spans="1:17" ht="46.5" customHeight="1" x14ac:dyDescent="0.3">
      <c r="A39" s="269" t="s">
        <v>250</v>
      </c>
      <c r="B39" s="269"/>
      <c r="C39" s="269"/>
      <c r="D39" s="269"/>
      <c r="E39" s="269"/>
      <c r="F39" s="269"/>
      <c r="G39" s="269"/>
      <c r="H39" s="269"/>
      <c r="I39" s="269"/>
      <c r="J39" s="269"/>
      <c r="K39" s="269"/>
      <c r="L39" s="269"/>
      <c r="M39" s="269"/>
      <c r="N39" s="269"/>
      <c r="O39" s="269"/>
      <c r="P39" s="269"/>
      <c r="Q39" s="269"/>
    </row>
    <row r="40" spans="1:17" x14ac:dyDescent="0.3">
      <c r="A40" s="162" t="s">
        <v>251</v>
      </c>
      <c r="B40" s="162"/>
      <c r="C40" s="162"/>
      <c r="D40" s="162"/>
      <c r="E40" s="162"/>
      <c r="F40" s="162"/>
      <c r="G40" s="162"/>
      <c r="H40" s="162"/>
      <c r="I40" s="162"/>
      <c r="J40" s="162"/>
      <c r="K40" s="162"/>
      <c r="L40" s="162"/>
      <c r="M40" s="162"/>
      <c r="N40" s="162"/>
      <c r="O40" s="162"/>
      <c r="P40" s="162"/>
      <c r="Q40" s="162"/>
    </row>
  </sheetData>
  <mergeCells count="19">
    <mergeCell ref="B32:G32"/>
    <mergeCell ref="A34:Q34"/>
    <mergeCell ref="Z1:AC1"/>
    <mergeCell ref="A1:A2"/>
    <mergeCell ref="B1:E1"/>
    <mergeCell ref="F1:I1"/>
    <mergeCell ref="J1:M1"/>
    <mergeCell ref="N1:Q1"/>
    <mergeCell ref="R1:U1"/>
    <mergeCell ref="V1:Y1"/>
    <mergeCell ref="D26:P26"/>
    <mergeCell ref="Q26:AC26"/>
    <mergeCell ref="A28:Q29"/>
    <mergeCell ref="B31:G31"/>
    <mergeCell ref="A40:Q40"/>
    <mergeCell ref="A36:Q36"/>
    <mergeCell ref="A37:Q37"/>
    <mergeCell ref="A38:Q38"/>
    <mergeCell ref="A39:Q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8"/>
  <sheetViews>
    <sheetView topLeftCell="A48" zoomScaleNormal="100" workbookViewId="0">
      <selection activeCell="I65" sqref="I65"/>
    </sheetView>
  </sheetViews>
  <sheetFormatPr baseColWidth="10" defaultRowHeight="15" x14ac:dyDescent="0.25"/>
  <cols>
    <col min="1" max="2" width="11.42578125" style="125"/>
    <col min="3" max="3" width="15.5703125" style="125" customWidth="1"/>
    <col min="4" max="4" width="8.85546875" style="125" customWidth="1"/>
    <col min="5" max="5" width="9.85546875" style="125" customWidth="1"/>
    <col min="6" max="6" width="10.7109375" style="125" customWidth="1"/>
    <col min="7" max="8" width="11.42578125" style="125"/>
    <col min="9" max="9" width="16.5703125" style="125" customWidth="1"/>
    <col min="10" max="10" width="6.42578125" style="125" customWidth="1"/>
    <col min="11" max="12" width="11.42578125" style="125"/>
    <col min="13" max="13" width="17.42578125" style="125" customWidth="1"/>
    <col min="14" max="16" width="11.42578125" style="125"/>
    <col min="17" max="17" width="17.42578125" style="125" customWidth="1"/>
    <col min="18" max="18" width="27" style="125" customWidth="1"/>
    <col min="19" max="16384" width="11.42578125" style="125"/>
  </cols>
  <sheetData>
    <row r="1" spans="1:18" ht="45.75" customHeight="1" x14ac:dyDescent="0.25">
      <c r="A1" s="233" t="s">
        <v>30</v>
      </c>
      <c r="B1" s="234"/>
      <c r="C1" s="234"/>
      <c r="D1" s="234"/>
      <c r="E1" s="235"/>
      <c r="F1" s="231" t="s">
        <v>138</v>
      </c>
      <c r="G1" s="231"/>
      <c r="H1" s="231"/>
      <c r="I1" s="231"/>
      <c r="J1" s="231" t="s">
        <v>139</v>
      </c>
      <c r="K1" s="231"/>
      <c r="L1" s="231"/>
      <c r="M1" s="231"/>
      <c r="N1" s="231" t="s">
        <v>140</v>
      </c>
      <c r="O1" s="231"/>
      <c r="P1" s="231"/>
      <c r="Q1" s="231"/>
      <c r="R1" s="229" t="s">
        <v>240</v>
      </c>
    </row>
    <row r="2" spans="1:18" ht="39" customHeight="1" x14ac:dyDescent="0.25">
      <c r="A2" s="239" t="s">
        <v>129</v>
      </c>
      <c r="B2" s="239"/>
      <c r="C2" s="239"/>
      <c r="D2" s="126" t="s">
        <v>130</v>
      </c>
      <c r="E2" s="126" t="s">
        <v>131</v>
      </c>
      <c r="F2" s="126" t="s">
        <v>135</v>
      </c>
      <c r="G2" s="126" t="s">
        <v>136</v>
      </c>
      <c r="H2" s="126" t="s">
        <v>189</v>
      </c>
      <c r="I2" s="126" t="s">
        <v>172</v>
      </c>
      <c r="J2" s="126" t="s">
        <v>134</v>
      </c>
      <c r="K2" s="126" t="s">
        <v>137</v>
      </c>
      <c r="L2" s="126" t="s">
        <v>189</v>
      </c>
      <c r="M2" s="126" t="s">
        <v>172</v>
      </c>
      <c r="N2" s="126" t="s">
        <v>132</v>
      </c>
      <c r="O2" s="126" t="s">
        <v>137</v>
      </c>
      <c r="P2" s="126" t="s">
        <v>189</v>
      </c>
      <c r="Q2" s="126" t="s">
        <v>172</v>
      </c>
      <c r="R2" s="229"/>
    </row>
    <row r="3" spans="1:18" ht="90" customHeight="1" x14ac:dyDescent="0.25">
      <c r="A3" s="126" t="s">
        <v>31</v>
      </c>
      <c r="B3" s="126" t="s">
        <v>32</v>
      </c>
      <c r="C3" s="126" t="s">
        <v>33</v>
      </c>
      <c r="D3" s="127"/>
      <c r="E3" s="127"/>
      <c r="F3" s="127"/>
      <c r="G3" s="126"/>
      <c r="H3" s="126"/>
      <c r="I3" s="126"/>
      <c r="J3" s="127"/>
      <c r="K3" s="126"/>
      <c r="L3" s="126"/>
      <c r="M3" s="126"/>
      <c r="N3" s="127"/>
      <c r="O3" s="126"/>
      <c r="P3" s="126"/>
      <c r="Q3" s="126"/>
      <c r="R3" s="229"/>
    </row>
    <row r="4" spans="1:18" ht="121.5" customHeight="1" x14ac:dyDescent="0.25">
      <c r="A4" s="128" t="s">
        <v>34</v>
      </c>
      <c r="B4" s="128" t="s">
        <v>35</v>
      </c>
      <c r="C4" s="128" t="s">
        <v>36</v>
      </c>
      <c r="D4" s="129">
        <v>100</v>
      </c>
      <c r="E4" s="129"/>
      <c r="F4" s="129">
        <v>1</v>
      </c>
      <c r="G4" s="130">
        <v>59000</v>
      </c>
      <c r="H4" s="130">
        <f>SUM(G4*16%)</f>
        <v>9440</v>
      </c>
      <c r="I4" s="130">
        <f>SUM(G4:H4)*1</f>
        <v>68440</v>
      </c>
      <c r="J4" s="129">
        <v>2</v>
      </c>
      <c r="K4" s="131">
        <v>61200</v>
      </c>
      <c r="L4" s="131">
        <f>SUM(K4*16%)</f>
        <v>9792</v>
      </c>
      <c r="M4" s="131">
        <f>SUM(K4:L4)*J4</f>
        <v>141984</v>
      </c>
      <c r="N4" s="129">
        <v>1</v>
      </c>
      <c r="O4" s="130">
        <v>63400</v>
      </c>
      <c r="P4" s="130">
        <f>SUM(O4*16%)</f>
        <v>10144</v>
      </c>
      <c r="Q4" s="130">
        <f>SUM(O4+P4)*N4</f>
        <v>73544</v>
      </c>
      <c r="R4" s="153" t="s">
        <v>220</v>
      </c>
    </row>
    <row r="5" spans="1:18" ht="108" customHeight="1" x14ac:dyDescent="0.25">
      <c r="A5" s="128" t="s">
        <v>37</v>
      </c>
      <c r="B5" s="128" t="s">
        <v>38</v>
      </c>
      <c r="C5" s="128" t="s">
        <v>39</v>
      </c>
      <c r="D5" s="129">
        <v>66.510000000000005</v>
      </c>
      <c r="E5" s="129"/>
      <c r="F5" s="129">
        <v>1</v>
      </c>
      <c r="G5" s="130">
        <v>39241</v>
      </c>
      <c r="H5" s="130">
        <f t="shared" ref="H5:H43" si="0">SUM(G5*16%)</f>
        <v>6278.56</v>
      </c>
      <c r="I5" s="130">
        <f t="shared" ref="I5:I43" si="1">SUM(G5:H5)*1</f>
        <v>45519.56</v>
      </c>
      <c r="J5" s="129">
        <v>2</v>
      </c>
      <c r="K5" s="131">
        <v>40704</v>
      </c>
      <c r="L5" s="131">
        <f t="shared" ref="L5:L43" si="2">SUM(K5*16%)</f>
        <v>6512.64</v>
      </c>
      <c r="M5" s="131">
        <f t="shared" ref="M5:M30" si="3">SUM(K5:L5)*J5</f>
        <v>94433.279999999999</v>
      </c>
      <c r="N5" s="129">
        <v>1</v>
      </c>
      <c r="O5" s="130">
        <v>42167</v>
      </c>
      <c r="P5" s="130">
        <f t="shared" ref="P5:P43" si="4">SUM(O5*16%)</f>
        <v>6746.72</v>
      </c>
      <c r="Q5" s="130">
        <f t="shared" ref="Q5:Q43" si="5">SUM(O5+P5)*N5</f>
        <v>48913.72</v>
      </c>
      <c r="R5" s="132" t="s">
        <v>218</v>
      </c>
    </row>
    <row r="6" spans="1:18" ht="60" customHeight="1" x14ac:dyDescent="0.25">
      <c r="A6" s="128" t="s">
        <v>40</v>
      </c>
      <c r="B6" s="128" t="s">
        <v>41</v>
      </c>
      <c r="C6" s="128" t="s">
        <v>42</v>
      </c>
      <c r="D6" s="129">
        <v>72.31</v>
      </c>
      <c r="E6" s="129"/>
      <c r="F6" s="129">
        <v>1</v>
      </c>
      <c r="G6" s="130">
        <v>42663</v>
      </c>
      <c r="H6" s="130">
        <f t="shared" si="0"/>
        <v>6826.08</v>
      </c>
      <c r="I6" s="130">
        <f t="shared" si="1"/>
        <v>49489.08</v>
      </c>
      <c r="J6" s="129">
        <v>2</v>
      </c>
      <c r="K6" s="131">
        <v>44254</v>
      </c>
      <c r="L6" s="131">
        <f t="shared" si="2"/>
        <v>7080.64</v>
      </c>
      <c r="M6" s="131">
        <f t="shared" si="3"/>
        <v>102669.28</v>
      </c>
      <c r="N6" s="129">
        <v>1</v>
      </c>
      <c r="O6" s="130">
        <v>45845</v>
      </c>
      <c r="P6" s="130">
        <f t="shared" si="4"/>
        <v>7335.2</v>
      </c>
      <c r="Q6" s="130">
        <f t="shared" si="5"/>
        <v>53180.2</v>
      </c>
      <c r="R6" s="154"/>
    </row>
    <row r="7" spans="1:18" ht="72" customHeight="1" x14ac:dyDescent="0.25">
      <c r="A7" s="128" t="s">
        <v>43</v>
      </c>
      <c r="B7" s="128" t="s">
        <v>44</v>
      </c>
      <c r="C7" s="128" t="s">
        <v>45</v>
      </c>
      <c r="D7" s="129">
        <v>149.63</v>
      </c>
      <c r="E7" s="129"/>
      <c r="F7" s="129">
        <v>1</v>
      </c>
      <c r="G7" s="130">
        <v>88282</v>
      </c>
      <c r="H7" s="130">
        <f t="shared" si="0"/>
        <v>14125.12</v>
      </c>
      <c r="I7" s="130">
        <f t="shared" si="1"/>
        <v>102407.12</v>
      </c>
      <c r="J7" s="129">
        <v>2</v>
      </c>
      <c r="K7" s="131">
        <v>91574</v>
      </c>
      <c r="L7" s="131">
        <f t="shared" si="2"/>
        <v>14651.84</v>
      </c>
      <c r="M7" s="131">
        <f t="shared" si="3"/>
        <v>212451.68</v>
      </c>
      <c r="N7" s="129">
        <v>1</v>
      </c>
      <c r="O7" s="130">
        <v>94865</v>
      </c>
      <c r="P7" s="130">
        <f t="shared" si="4"/>
        <v>15178.4</v>
      </c>
      <c r="Q7" s="130">
        <f t="shared" si="5"/>
        <v>110043.4</v>
      </c>
      <c r="R7" s="132" t="s">
        <v>219</v>
      </c>
    </row>
    <row r="8" spans="1:18" ht="60" customHeight="1" x14ac:dyDescent="0.25">
      <c r="A8" s="128" t="s">
        <v>46</v>
      </c>
      <c r="B8" s="128" t="s">
        <v>47</v>
      </c>
      <c r="C8" s="128" t="s">
        <v>48</v>
      </c>
      <c r="D8" s="129">
        <v>90</v>
      </c>
      <c r="E8" s="129"/>
      <c r="F8" s="129">
        <v>1</v>
      </c>
      <c r="G8" s="130">
        <v>53100</v>
      </c>
      <c r="H8" s="130">
        <f t="shared" si="0"/>
        <v>8496</v>
      </c>
      <c r="I8" s="130">
        <f t="shared" si="1"/>
        <v>61596</v>
      </c>
      <c r="J8" s="129">
        <v>2</v>
      </c>
      <c r="K8" s="131">
        <v>55080</v>
      </c>
      <c r="L8" s="131">
        <f t="shared" si="2"/>
        <v>8812.8000000000011</v>
      </c>
      <c r="M8" s="131">
        <f t="shared" si="3"/>
        <v>127785.60000000001</v>
      </c>
      <c r="N8" s="129">
        <v>1</v>
      </c>
      <c r="O8" s="130">
        <v>57060</v>
      </c>
      <c r="P8" s="130">
        <f t="shared" si="4"/>
        <v>9129.6</v>
      </c>
      <c r="Q8" s="130">
        <f t="shared" si="5"/>
        <v>66189.600000000006</v>
      </c>
      <c r="R8" s="132" t="s">
        <v>217</v>
      </c>
    </row>
    <row r="9" spans="1:18" ht="72" customHeight="1" x14ac:dyDescent="0.25">
      <c r="A9" s="128" t="s">
        <v>49</v>
      </c>
      <c r="B9" s="128" t="s">
        <v>50</v>
      </c>
      <c r="C9" s="128" t="s">
        <v>51</v>
      </c>
      <c r="D9" s="129">
        <v>250</v>
      </c>
      <c r="E9" s="129"/>
      <c r="F9" s="129">
        <v>1</v>
      </c>
      <c r="G9" s="130">
        <v>147500</v>
      </c>
      <c r="H9" s="130">
        <f t="shared" si="0"/>
        <v>23600</v>
      </c>
      <c r="I9" s="130">
        <f t="shared" si="1"/>
        <v>171100</v>
      </c>
      <c r="J9" s="129">
        <v>2</v>
      </c>
      <c r="K9" s="131">
        <v>153000</v>
      </c>
      <c r="L9" s="131">
        <f t="shared" si="2"/>
        <v>24480</v>
      </c>
      <c r="M9" s="131">
        <f t="shared" si="3"/>
        <v>354960</v>
      </c>
      <c r="N9" s="129">
        <v>1</v>
      </c>
      <c r="O9" s="130">
        <v>158500</v>
      </c>
      <c r="P9" s="130">
        <f t="shared" si="4"/>
        <v>25360</v>
      </c>
      <c r="Q9" s="130">
        <f t="shared" si="5"/>
        <v>183860</v>
      </c>
      <c r="R9" s="154"/>
    </row>
    <row r="10" spans="1:18" ht="72" customHeight="1" x14ac:dyDescent="0.25">
      <c r="A10" s="128" t="s">
        <v>52</v>
      </c>
      <c r="B10" s="128" t="s">
        <v>53</v>
      </c>
      <c r="C10" s="128" t="s">
        <v>54</v>
      </c>
      <c r="D10" s="129">
        <v>100</v>
      </c>
      <c r="E10" s="129"/>
      <c r="F10" s="129">
        <v>1</v>
      </c>
      <c r="G10" s="130">
        <v>59000</v>
      </c>
      <c r="H10" s="130">
        <f t="shared" si="0"/>
        <v>9440</v>
      </c>
      <c r="I10" s="130">
        <f t="shared" si="1"/>
        <v>68440</v>
      </c>
      <c r="J10" s="129">
        <v>2</v>
      </c>
      <c r="K10" s="131">
        <v>61200</v>
      </c>
      <c r="L10" s="131">
        <f t="shared" si="2"/>
        <v>9792</v>
      </c>
      <c r="M10" s="131">
        <f t="shared" si="3"/>
        <v>141984</v>
      </c>
      <c r="N10" s="129">
        <v>1</v>
      </c>
      <c r="O10" s="130">
        <v>63400</v>
      </c>
      <c r="P10" s="130">
        <f t="shared" si="4"/>
        <v>10144</v>
      </c>
      <c r="Q10" s="130">
        <f t="shared" si="5"/>
        <v>73544</v>
      </c>
      <c r="R10" s="154"/>
    </row>
    <row r="11" spans="1:18" ht="60" customHeight="1" x14ac:dyDescent="0.25">
      <c r="A11" s="128" t="s">
        <v>55</v>
      </c>
      <c r="B11" s="128" t="s">
        <v>56</v>
      </c>
      <c r="C11" s="128" t="s">
        <v>57</v>
      </c>
      <c r="D11" s="129">
        <v>64.19</v>
      </c>
      <c r="E11" s="129"/>
      <c r="F11" s="129">
        <v>1</v>
      </c>
      <c r="G11" s="130">
        <v>37872</v>
      </c>
      <c r="H11" s="130">
        <f t="shared" si="0"/>
        <v>6059.52</v>
      </c>
      <c r="I11" s="130">
        <f t="shared" si="1"/>
        <v>43931.520000000004</v>
      </c>
      <c r="J11" s="129">
        <v>2</v>
      </c>
      <c r="K11" s="131">
        <v>39284</v>
      </c>
      <c r="L11" s="131">
        <f t="shared" si="2"/>
        <v>6285.4400000000005</v>
      </c>
      <c r="M11" s="131">
        <f t="shared" si="3"/>
        <v>91138.880000000005</v>
      </c>
      <c r="N11" s="129">
        <v>1</v>
      </c>
      <c r="O11" s="130">
        <v>40696</v>
      </c>
      <c r="P11" s="130">
        <f t="shared" si="4"/>
        <v>6511.3600000000006</v>
      </c>
      <c r="Q11" s="130">
        <f t="shared" si="5"/>
        <v>47207.360000000001</v>
      </c>
      <c r="R11" s="132" t="s">
        <v>219</v>
      </c>
    </row>
    <row r="12" spans="1:18" ht="60" customHeight="1" x14ac:dyDescent="0.25">
      <c r="A12" s="128" t="s">
        <v>58</v>
      </c>
      <c r="B12" s="128" t="s">
        <v>59</v>
      </c>
      <c r="C12" s="128" t="s">
        <v>60</v>
      </c>
      <c r="D12" s="129">
        <v>85.09</v>
      </c>
      <c r="E12" s="129"/>
      <c r="F12" s="129">
        <v>1</v>
      </c>
      <c r="G12" s="130">
        <v>50203</v>
      </c>
      <c r="H12" s="130">
        <f t="shared" si="0"/>
        <v>8032.4800000000005</v>
      </c>
      <c r="I12" s="130">
        <f t="shared" si="1"/>
        <v>58235.48</v>
      </c>
      <c r="J12" s="129">
        <v>2</v>
      </c>
      <c r="K12" s="131">
        <v>52075</v>
      </c>
      <c r="L12" s="131">
        <f t="shared" si="2"/>
        <v>8332</v>
      </c>
      <c r="M12" s="131">
        <f t="shared" si="3"/>
        <v>120814</v>
      </c>
      <c r="N12" s="129">
        <v>1</v>
      </c>
      <c r="O12" s="130">
        <v>53947</v>
      </c>
      <c r="P12" s="130">
        <f t="shared" si="4"/>
        <v>8631.52</v>
      </c>
      <c r="Q12" s="130">
        <f t="shared" si="5"/>
        <v>62578.520000000004</v>
      </c>
      <c r="R12" s="154"/>
    </row>
    <row r="13" spans="1:18" ht="24" customHeight="1" x14ac:dyDescent="0.25">
      <c r="A13" s="128" t="s">
        <v>61</v>
      </c>
      <c r="B13" s="128" t="s">
        <v>62</v>
      </c>
      <c r="C13" s="128" t="s">
        <v>63</v>
      </c>
      <c r="D13" s="129">
        <v>100</v>
      </c>
      <c r="E13" s="129"/>
      <c r="F13" s="129">
        <v>1</v>
      </c>
      <c r="G13" s="130">
        <v>59000</v>
      </c>
      <c r="H13" s="130">
        <f t="shared" si="0"/>
        <v>9440</v>
      </c>
      <c r="I13" s="130">
        <f t="shared" si="1"/>
        <v>68440</v>
      </c>
      <c r="J13" s="129">
        <v>2</v>
      </c>
      <c r="K13" s="131">
        <v>61200</v>
      </c>
      <c r="L13" s="131">
        <f t="shared" si="2"/>
        <v>9792</v>
      </c>
      <c r="M13" s="131">
        <f t="shared" si="3"/>
        <v>141984</v>
      </c>
      <c r="N13" s="129">
        <v>1</v>
      </c>
      <c r="O13" s="130">
        <v>63400</v>
      </c>
      <c r="P13" s="130">
        <f t="shared" si="4"/>
        <v>10144</v>
      </c>
      <c r="Q13" s="130">
        <f t="shared" si="5"/>
        <v>73544</v>
      </c>
      <c r="R13" s="154"/>
    </row>
    <row r="14" spans="1:18" ht="66" customHeight="1" x14ac:dyDescent="0.25">
      <c r="A14" s="128" t="s">
        <v>64</v>
      </c>
      <c r="B14" s="128" t="s">
        <v>65</v>
      </c>
      <c r="C14" s="128" t="s">
        <v>66</v>
      </c>
      <c r="D14" s="129">
        <v>74.92</v>
      </c>
      <c r="E14" s="129"/>
      <c r="F14" s="129">
        <v>1</v>
      </c>
      <c r="G14" s="130">
        <v>44203</v>
      </c>
      <c r="H14" s="130">
        <f t="shared" si="0"/>
        <v>7072.4800000000005</v>
      </c>
      <c r="I14" s="130">
        <f t="shared" si="1"/>
        <v>51275.48</v>
      </c>
      <c r="J14" s="129">
        <v>2</v>
      </c>
      <c r="K14" s="131">
        <v>45851</v>
      </c>
      <c r="L14" s="131">
        <f t="shared" si="2"/>
        <v>7336.16</v>
      </c>
      <c r="M14" s="131">
        <f t="shared" si="3"/>
        <v>106374.32</v>
      </c>
      <c r="N14" s="129">
        <v>1</v>
      </c>
      <c r="O14" s="130">
        <v>47499</v>
      </c>
      <c r="P14" s="130">
        <f t="shared" si="4"/>
        <v>7599.84</v>
      </c>
      <c r="Q14" s="130">
        <f t="shared" si="5"/>
        <v>55098.84</v>
      </c>
      <c r="R14" s="154"/>
    </row>
    <row r="15" spans="1:18" ht="84" x14ac:dyDescent="0.25">
      <c r="A15" s="128" t="s">
        <v>67</v>
      </c>
      <c r="B15" s="128" t="s">
        <v>68</v>
      </c>
      <c r="C15" s="128" t="s">
        <v>69</v>
      </c>
      <c r="D15" s="129">
        <v>100</v>
      </c>
      <c r="E15" s="129"/>
      <c r="F15" s="129">
        <v>1</v>
      </c>
      <c r="G15" s="130">
        <v>59000</v>
      </c>
      <c r="H15" s="130">
        <v>0</v>
      </c>
      <c r="I15" s="130">
        <f t="shared" si="1"/>
        <v>59000</v>
      </c>
      <c r="J15" s="129">
        <v>2</v>
      </c>
      <c r="K15" s="131">
        <v>61200</v>
      </c>
      <c r="L15" s="131">
        <v>0</v>
      </c>
      <c r="M15" s="131">
        <f t="shared" si="3"/>
        <v>122400</v>
      </c>
      <c r="N15" s="129">
        <v>1</v>
      </c>
      <c r="O15" s="130">
        <v>63400</v>
      </c>
      <c r="P15" s="130">
        <f t="shared" si="4"/>
        <v>10144</v>
      </c>
      <c r="Q15" s="130">
        <f t="shared" si="5"/>
        <v>73544</v>
      </c>
      <c r="R15" s="154"/>
    </row>
    <row r="16" spans="1:18" ht="67.5" customHeight="1" x14ac:dyDescent="0.25">
      <c r="A16" s="128" t="s">
        <v>70</v>
      </c>
      <c r="B16" s="128" t="s">
        <v>71</v>
      </c>
      <c r="C16" s="128" t="s">
        <v>72</v>
      </c>
      <c r="D16" s="129">
        <v>165.45</v>
      </c>
      <c r="E16" s="129"/>
      <c r="F16" s="129">
        <v>1</v>
      </c>
      <c r="G16" s="130">
        <v>97616</v>
      </c>
      <c r="H16" s="130">
        <f t="shared" si="0"/>
        <v>15618.56</v>
      </c>
      <c r="I16" s="130">
        <f t="shared" si="1"/>
        <v>113234.56</v>
      </c>
      <c r="J16" s="129">
        <v>2</v>
      </c>
      <c r="K16" s="131">
        <v>101255</v>
      </c>
      <c r="L16" s="131">
        <f t="shared" si="2"/>
        <v>16200.800000000001</v>
      </c>
      <c r="M16" s="131">
        <f t="shared" si="3"/>
        <v>234911.6</v>
      </c>
      <c r="N16" s="129">
        <v>1</v>
      </c>
      <c r="O16" s="130">
        <v>104895</v>
      </c>
      <c r="P16" s="130">
        <f t="shared" si="4"/>
        <v>16783.2</v>
      </c>
      <c r="Q16" s="130">
        <f t="shared" si="5"/>
        <v>121678.2</v>
      </c>
      <c r="R16" s="132" t="s">
        <v>218</v>
      </c>
    </row>
    <row r="17" spans="1:18" ht="60" customHeight="1" x14ac:dyDescent="0.25">
      <c r="A17" s="128" t="s">
        <v>70</v>
      </c>
      <c r="B17" s="128" t="s">
        <v>73</v>
      </c>
      <c r="C17" s="128" t="s">
        <v>74</v>
      </c>
      <c r="D17" s="129" t="s">
        <v>75</v>
      </c>
      <c r="E17" s="129"/>
      <c r="F17" s="129">
        <v>1</v>
      </c>
      <c r="G17" s="130">
        <v>19836</v>
      </c>
      <c r="H17" s="130">
        <f t="shared" si="0"/>
        <v>3173.76</v>
      </c>
      <c r="I17" s="130">
        <f t="shared" si="1"/>
        <v>23009.760000000002</v>
      </c>
      <c r="J17" s="129">
        <v>2</v>
      </c>
      <c r="K17" s="131">
        <v>20575</v>
      </c>
      <c r="L17" s="131">
        <f t="shared" si="2"/>
        <v>3292</v>
      </c>
      <c r="M17" s="131">
        <f t="shared" si="3"/>
        <v>47734</v>
      </c>
      <c r="N17" s="129">
        <v>1</v>
      </c>
      <c r="O17" s="130">
        <v>21315</v>
      </c>
      <c r="P17" s="130">
        <f t="shared" si="4"/>
        <v>3410.4</v>
      </c>
      <c r="Q17" s="130">
        <f t="shared" si="5"/>
        <v>24725.4</v>
      </c>
      <c r="R17" s="132" t="s">
        <v>218</v>
      </c>
    </row>
    <row r="18" spans="1:18" ht="48" x14ac:dyDescent="0.25">
      <c r="A18" s="128" t="s">
        <v>76</v>
      </c>
      <c r="B18" s="128" t="s">
        <v>77</v>
      </c>
      <c r="C18" s="128" t="s">
        <v>78</v>
      </c>
      <c r="D18" s="129">
        <v>109.63</v>
      </c>
      <c r="E18" s="129"/>
      <c r="F18" s="129">
        <v>1</v>
      </c>
      <c r="G18" s="130">
        <v>64682</v>
      </c>
      <c r="H18" s="130">
        <f t="shared" si="0"/>
        <v>10349.120000000001</v>
      </c>
      <c r="I18" s="130">
        <f t="shared" si="1"/>
        <v>75031.12</v>
      </c>
      <c r="J18" s="129">
        <v>2</v>
      </c>
      <c r="K18" s="131">
        <v>67094</v>
      </c>
      <c r="L18" s="131">
        <f t="shared" si="2"/>
        <v>10735.04</v>
      </c>
      <c r="M18" s="131">
        <f t="shared" si="3"/>
        <v>155658.08000000002</v>
      </c>
      <c r="N18" s="129">
        <v>1</v>
      </c>
      <c r="O18" s="130">
        <v>69505</v>
      </c>
      <c r="P18" s="130">
        <f t="shared" si="4"/>
        <v>11120.800000000001</v>
      </c>
      <c r="Q18" s="130">
        <f t="shared" si="5"/>
        <v>80625.8</v>
      </c>
      <c r="R18" s="132" t="s">
        <v>218</v>
      </c>
    </row>
    <row r="19" spans="1:18" ht="24" x14ac:dyDescent="0.25">
      <c r="A19" s="128" t="s">
        <v>79</v>
      </c>
      <c r="B19" s="128" t="s">
        <v>80</v>
      </c>
      <c r="C19" s="128" t="s">
        <v>81</v>
      </c>
      <c r="D19" s="129">
        <v>472.02</v>
      </c>
      <c r="E19" s="129">
        <v>139.32</v>
      </c>
      <c r="F19" s="129">
        <v>1</v>
      </c>
      <c r="G19" s="130">
        <v>360490</v>
      </c>
      <c r="H19" s="130">
        <f t="shared" si="0"/>
        <v>57678.400000000001</v>
      </c>
      <c r="I19" s="130">
        <f t="shared" si="1"/>
        <v>418168.4</v>
      </c>
      <c r="J19" s="129">
        <v>2</v>
      </c>
      <c r="K19" s="131">
        <v>373932</v>
      </c>
      <c r="L19" s="131">
        <f t="shared" si="2"/>
        <v>59829.120000000003</v>
      </c>
      <c r="M19" s="131">
        <f t="shared" si="3"/>
        <v>867522.24</v>
      </c>
      <c r="N19" s="129">
        <v>1</v>
      </c>
      <c r="O19" s="130">
        <v>387374</v>
      </c>
      <c r="P19" s="130">
        <f t="shared" si="4"/>
        <v>61979.840000000004</v>
      </c>
      <c r="Q19" s="130">
        <f t="shared" si="5"/>
        <v>449353.84</v>
      </c>
      <c r="R19" s="152"/>
    </row>
    <row r="20" spans="1:18" ht="48" customHeight="1" x14ac:dyDescent="0.25">
      <c r="A20" s="128" t="s">
        <v>70</v>
      </c>
      <c r="B20" s="128" t="s">
        <v>82</v>
      </c>
      <c r="C20" s="128" t="s">
        <v>83</v>
      </c>
      <c r="D20" s="129">
        <v>123.56</v>
      </c>
      <c r="E20" s="129"/>
      <c r="F20" s="129">
        <v>1</v>
      </c>
      <c r="G20" s="130">
        <v>72900</v>
      </c>
      <c r="H20" s="130">
        <f t="shared" si="0"/>
        <v>11664</v>
      </c>
      <c r="I20" s="130">
        <f t="shared" si="1"/>
        <v>84564</v>
      </c>
      <c r="J20" s="129">
        <v>2</v>
      </c>
      <c r="K20" s="131">
        <v>75619</v>
      </c>
      <c r="L20" s="131">
        <f t="shared" si="2"/>
        <v>12099.04</v>
      </c>
      <c r="M20" s="131">
        <f t="shared" si="3"/>
        <v>175436.08000000002</v>
      </c>
      <c r="N20" s="129">
        <v>1</v>
      </c>
      <c r="O20" s="130">
        <v>78337</v>
      </c>
      <c r="P20" s="130">
        <f t="shared" si="4"/>
        <v>12533.92</v>
      </c>
      <c r="Q20" s="130">
        <f t="shared" si="5"/>
        <v>90870.92</v>
      </c>
      <c r="R20" s="132" t="s">
        <v>219</v>
      </c>
    </row>
    <row r="21" spans="1:18" ht="60" customHeight="1" x14ac:dyDescent="0.25">
      <c r="A21" s="128" t="s">
        <v>84</v>
      </c>
      <c r="B21" s="128" t="s">
        <v>85</v>
      </c>
      <c r="C21" s="128" t="s">
        <v>86</v>
      </c>
      <c r="D21" s="129">
        <v>100</v>
      </c>
      <c r="E21" s="129"/>
      <c r="F21" s="129">
        <v>1</v>
      </c>
      <c r="G21" s="130">
        <v>59000</v>
      </c>
      <c r="H21" s="130">
        <f t="shared" si="0"/>
        <v>9440</v>
      </c>
      <c r="I21" s="130">
        <f t="shared" si="1"/>
        <v>68440</v>
      </c>
      <c r="J21" s="129">
        <v>2</v>
      </c>
      <c r="K21" s="131">
        <v>61200</v>
      </c>
      <c r="L21" s="131">
        <f t="shared" si="2"/>
        <v>9792</v>
      </c>
      <c r="M21" s="131">
        <f t="shared" si="3"/>
        <v>141984</v>
      </c>
      <c r="N21" s="129">
        <v>1</v>
      </c>
      <c r="O21" s="130">
        <v>63400</v>
      </c>
      <c r="P21" s="130">
        <f t="shared" si="4"/>
        <v>10144</v>
      </c>
      <c r="Q21" s="130">
        <f t="shared" si="5"/>
        <v>73544</v>
      </c>
      <c r="R21" s="152"/>
    </row>
    <row r="22" spans="1:18" ht="49.5" customHeight="1" x14ac:dyDescent="0.25">
      <c r="A22" s="128" t="s">
        <v>87</v>
      </c>
      <c r="B22" s="128" t="s">
        <v>88</v>
      </c>
      <c r="C22" s="128" t="s">
        <v>89</v>
      </c>
      <c r="D22" s="129">
        <v>345.73</v>
      </c>
      <c r="E22" s="129"/>
      <c r="F22" s="129">
        <v>1</v>
      </c>
      <c r="G22" s="130">
        <v>203981</v>
      </c>
      <c r="H22" s="130">
        <f t="shared" si="0"/>
        <v>32636.959999999999</v>
      </c>
      <c r="I22" s="130">
        <f t="shared" si="1"/>
        <v>236617.96</v>
      </c>
      <c r="J22" s="129">
        <v>2</v>
      </c>
      <c r="K22" s="131">
        <v>211587</v>
      </c>
      <c r="L22" s="131">
        <f t="shared" si="2"/>
        <v>33853.919999999998</v>
      </c>
      <c r="M22" s="131">
        <f t="shared" si="3"/>
        <v>490881.83999999997</v>
      </c>
      <c r="N22" s="129">
        <v>1</v>
      </c>
      <c r="O22" s="130">
        <v>219193</v>
      </c>
      <c r="P22" s="130">
        <f t="shared" si="4"/>
        <v>35070.879999999997</v>
      </c>
      <c r="Q22" s="130">
        <f t="shared" si="5"/>
        <v>254263.88</v>
      </c>
      <c r="R22" s="132" t="s">
        <v>219</v>
      </c>
    </row>
    <row r="23" spans="1:18" ht="72" customHeight="1" x14ac:dyDescent="0.25">
      <c r="A23" s="128" t="s">
        <v>90</v>
      </c>
      <c r="B23" s="128" t="s">
        <v>91</v>
      </c>
      <c r="C23" s="128" t="s">
        <v>92</v>
      </c>
      <c r="D23" s="129">
        <v>106.5</v>
      </c>
      <c r="E23" s="129"/>
      <c r="F23" s="129">
        <v>1</v>
      </c>
      <c r="G23" s="130">
        <v>62835</v>
      </c>
      <c r="H23" s="130">
        <f t="shared" si="0"/>
        <v>10053.6</v>
      </c>
      <c r="I23" s="130">
        <f t="shared" si="1"/>
        <v>72888.600000000006</v>
      </c>
      <c r="J23" s="129">
        <v>2</v>
      </c>
      <c r="K23" s="131">
        <v>65178</v>
      </c>
      <c r="L23" s="131">
        <f t="shared" si="2"/>
        <v>10428.48</v>
      </c>
      <c r="M23" s="131">
        <f t="shared" si="3"/>
        <v>151212.96</v>
      </c>
      <c r="N23" s="129">
        <v>1</v>
      </c>
      <c r="O23" s="130">
        <v>67521</v>
      </c>
      <c r="P23" s="130">
        <f t="shared" si="4"/>
        <v>10803.36</v>
      </c>
      <c r="Q23" s="130">
        <f t="shared" si="5"/>
        <v>78324.36</v>
      </c>
      <c r="R23" s="152"/>
    </row>
    <row r="24" spans="1:18" ht="44.25" customHeight="1" x14ac:dyDescent="0.25">
      <c r="A24" s="128" t="s">
        <v>93</v>
      </c>
      <c r="B24" s="128" t="s">
        <v>94</v>
      </c>
      <c r="C24" s="128" t="s">
        <v>95</v>
      </c>
      <c r="D24" s="129">
        <v>275.43</v>
      </c>
      <c r="E24" s="129"/>
      <c r="F24" s="129">
        <v>1</v>
      </c>
      <c r="G24" s="130">
        <v>162504</v>
      </c>
      <c r="H24" s="130">
        <f t="shared" si="0"/>
        <v>26000.639999999999</v>
      </c>
      <c r="I24" s="130">
        <f t="shared" si="1"/>
        <v>188504.64</v>
      </c>
      <c r="J24" s="129">
        <v>2</v>
      </c>
      <c r="K24" s="131">
        <v>168563</v>
      </c>
      <c r="L24" s="131">
        <f t="shared" si="2"/>
        <v>26970.080000000002</v>
      </c>
      <c r="M24" s="131">
        <f t="shared" si="3"/>
        <v>391066.16000000003</v>
      </c>
      <c r="N24" s="129">
        <v>1</v>
      </c>
      <c r="O24" s="130">
        <v>174623</v>
      </c>
      <c r="P24" s="130">
        <f t="shared" si="4"/>
        <v>27939.68</v>
      </c>
      <c r="Q24" s="130">
        <f t="shared" si="5"/>
        <v>202562.68</v>
      </c>
      <c r="R24" s="133" t="s">
        <v>218</v>
      </c>
    </row>
    <row r="25" spans="1:18" ht="36" customHeight="1" x14ac:dyDescent="0.25">
      <c r="A25" s="128" t="s">
        <v>96</v>
      </c>
      <c r="B25" s="128" t="s">
        <v>97</v>
      </c>
      <c r="C25" s="128" t="s">
        <v>98</v>
      </c>
      <c r="D25" s="129">
        <v>100</v>
      </c>
      <c r="E25" s="129"/>
      <c r="F25" s="129">
        <v>1</v>
      </c>
      <c r="G25" s="130">
        <v>59000</v>
      </c>
      <c r="H25" s="130">
        <f t="shared" si="0"/>
        <v>9440</v>
      </c>
      <c r="I25" s="130">
        <f t="shared" si="1"/>
        <v>68440</v>
      </c>
      <c r="J25" s="129">
        <v>2</v>
      </c>
      <c r="K25" s="131">
        <v>61200</v>
      </c>
      <c r="L25" s="131">
        <f t="shared" si="2"/>
        <v>9792</v>
      </c>
      <c r="M25" s="131">
        <f t="shared" si="3"/>
        <v>141984</v>
      </c>
      <c r="N25" s="129">
        <v>1</v>
      </c>
      <c r="O25" s="130">
        <v>63400</v>
      </c>
      <c r="P25" s="130">
        <f t="shared" si="4"/>
        <v>10144</v>
      </c>
      <c r="Q25" s="130">
        <f t="shared" si="5"/>
        <v>73544</v>
      </c>
      <c r="R25" s="152"/>
    </row>
    <row r="26" spans="1:18" ht="57" customHeight="1" x14ac:dyDescent="0.25">
      <c r="A26" s="128" t="s">
        <v>99</v>
      </c>
      <c r="B26" s="128" t="s">
        <v>100</v>
      </c>
      <c r="C26" s="128" t="s">
        <v>101</v>
      </c>
      <c r="D26" s="129">
        <v>110.2</v>
      </c>
      <c r="E26" s="129"/>
      <c r="F26" s="129">
        <v>1</v>
      </c>
      <c r="G26" s="130">
        <v>65018</v>
      </c>
      <c r="H26" s="130">
        <f t="shared" si="0"/>
        <v>10402.880000000001</v>
      </c>
      <c r="I26" s="130">
        <f t="shared" si="1"/>
        <v>75420.88</v>
      </c>
      <c r="J26" s="129">
        <v>2</v>
      </c>
      <c r="K26" s="131">
        <v>67442</v>
      </c>
      <c r="L26" s="131">
        <f t="shared" si="2"/>
        <v>10790.72</v>
      </c>
      <c r="M26" s="131">
        <f t="shared" si="3"/>
        <v>156465.44</v>
      </c>
      <c r="N26" s="129">
        <v>1</v>
      </c>
      <c r="O26" s="130">
        <v>69867</v>
      </c>
      <c r="P26" s="130">
        <f t="shared" si="4"/>
        <v>11178.72</v>
      </c>
      <c r="Q26" s="130">
        <f t="shared" si="5"/>
        <v>81045.72</v>
      </c>
      <c r="R26" s="152"/>
    </row>
    <row r="27" spans="1:18" ht="60" customHeight="1" x14ac:dyDescent="0.25">
      <c r="A27" s="128" t="s">
        <v>102</v>
      </c>
      <c r="B27" s="128" t="s">
        <v>103</v>
      </c>
      <c r="C27" s="128" t="s">
        <v>104</v>
      </c>
      <c r="D27" s="129">
        <v>270.63</v>
      </c>
      <c r="E27" s="129"/>
      <c r="F27" s="129">
        <v>1</v>
      </c>
      <c r="G27" s="130">
        <v>159672</v>
      </c>
      <c r="H27" s="130">
        <f t="shared" si="0"/>
        <v>25547.52</v>
      </c>
      <c r="I27" s="130">
        <f t="shared" si="1"/>
        <v>185219.52</v>
      </c>
      <c r="J27" s="129">
        <v>2</v>
      </c>
      <c r="K27" s="131">
        <v>165626</v>
      </c>
      <c r="L27" s="131">
        <f t="shared" si="2"/>
        <v>26500.16</v>
      </c>
      <c r="M27" s="131">
        <f t="shared" si="3"/>
        <v>384252.32</v>
      </c>
      <c r="N27" s="129">
        <v>1</v>
      </c>
      <c r="O27" s="130">
        <v>171579</v>
      </c>
      <c r="P27" s="130">
        <f t="shared" si="4"/>
        <v>27452.639999999999</v>
      </c>
      <c r="Q27" s="130">
        <f t="shared" si="5"/>
        <v>199031.64</v>
      </c>
      <c r="R27" s="152"/>
    </row>
    <row r="28" spans="1:18" ht="90.75" customHeight="1" x14ac:dyDescent="0.25">
      <c r="A28" s="128" t="s">
        <v>105</v>
      </c>
      <c r="B28" s="128" t="s">
        <v>106</v>
      </c>
      <c r="C28" s="128" t="s">
        <v>107</v>
      </c>
      <c r="D28" s="129">
        <v>157.72999999999999</v>
      </c>
      <c r="E28" s="129"/>
      <c r="F28" s="129">
        <v>1</v>
      </c>
      <c r="G28" s="130">
        <v>93061</v>
      </c>
      <c r="H28" s="130">
        <f t="shared" si="0"/>
        <v>14889.76</v>
      </c>
      <c r="I28" s="130">
        <f t="shared" si="1"/>
        <v>107950.76</v>
      </c>
      <c r="J28" s="129">
        <v>2</v>
      </c>
      <c r="K28" s="131">
        <v>96531</v>
      </c>
      <c r="L28" s="131">
        <f t="shared" si="2"/>
        <v>15444.960000000001</v>
      </c>
      <c r="M28" s="131">
        <f t="shared" si="3"/>
        <v>223951.92</v>
      </c>
      <c r="N28" s="129">
        <v>1</v>
      </c>
      <c r="O28" s="130">
        <v>100001</v>
      </c>
      <c r="P28" s="130">
        <f t="shared" si="4"/>
        <v>16000.16</v>
      </c>
      <c r="Q28" s="130">
        <f t="shared" si="5"/>
        <v>116001.16</v>
      </c>
      <c r="R28" s="132" t="s">
        <v>216</v>
      </c>
    </row>
    <row r="29" spans="1:18" ht="48" customHeight="1" x14ac:dyDescent="0.25">
      <c r="A29" s="128" t="s">
        <v>108</v>
      </c>
      <c r="B29" s="128" t="s">
        <v>109</v>
      </c>
      <c r="C29" s="128" t="s">
        <v>110</v>
      </c>
      <c r="D29" s="129">
        <v>92.37</v>
      </c>
      <c r="E29" s="129"/>
      <c r="F29" s="129">
        <v>1</v>
      </c>
      <c r="G29" s="130">
        <v>54498</v>
      </c>
      <c r="H29" s="130">
        <f t="shared" si="0"/>
        <v>8719.68</v>
      </c>
      <c r="I29" s="130">
        <f t="shared" si="1"/>
        <v>63217.68</v>
      </c>
      <c r="J29" s="129">
        <v>2</v>
      </c>
      <c r="K29" s="131">
        <v>56530</v>
      </c>
      <c r="L29" s="131">
        <f t="shared" si="2"/>
        <v>9044.8000000000011</v>
      </c>
      <c r="M29" s="131">
        <f t="shared" si="3"/>
        <v>131149.6</v>
      </c>
      <c r="N29" s="129">
        <v>1</v>
      </c>
      <c r="O29" s="130">
        <v>58563</v>
      </c>
      <c r="P29" s="130">
        <f t="shared" si="4"/>
        <v>9370.08</v>
      </c>
      <c r="Q29" s="130">
        <f t="shared" si="5"/>
        <v>67933.08</v>
      </c>
      <c r="R29" s="152"/>
    </row>
    <row r="30" spans="1:18" ht="76.5" customHeight="1" x14ac:dyDescent="0.25">
      <c r="A30" s="128" t="s">
        <v>111</v>
      </c>
      <c r="B30" s="128" t="s">
        <v>112</v>
      </c>
      <c r="C30" s="128" t="s">
        <v>113</v>
      </c>
      <c r="D30" s="129">
        <v>18</v>
      </c>
      <c r="E30" s="129"/>
      <c r="F30" s="129">
        <v>1</v>
      </c>
      <c r="G30" s="130">
        <v>10620</v>
      </c>
      <c r="H30" s="130">
        <f t="shared" si="0"/>
        <v>1699.2</v>
      </c>
      <c r="I30" s="130">
        <f t="shared" si="1"/>
        <v>12319.2</v>
      </c>
      <c r="J30" s="129">
        <v>2</v>
      </c>
      <c r="K30" s="131">
        <v>11016</v>
      </c>
      <c r="L30" s="131">
        <f t="shared" si="2"/>
        <v>1762.56</v>
      </c>
      <c r="M30" s="131">
        <f t="shared" si="3"/>
        <v>25557.119999999999</v>
      </c>
      <c r="N30" s="129">
        <v>1</v>
      </c>
      <c r="O30" s="130">
        <v>11412</v>
      </c>
      <c r="P30" s="130">
        <f t="shared" si="4"/>
        <v>1825.92</v>
      </c>
      <c r="Q30" s="130">
        <f t="shared" si="5"/>
        <v>13237.92</v>
      </c>
      <c r="R30" s="152"/>
    </row>
    <row r="31" spans="1:18" ht="15" customHeight="1" x14ac:dyDescent="0.25">
      <c r="A31" s="240" t="s">
        <v>114</v>
      </c>
      <c r="B31" s="240" t="s">
        <v>115</v>
      </c>
      <c r="C31" s="128" t="s">
        <v>116</v>
      </c>
      <c r="D31" s="134">
        <v>468.1</v>
      </c>
      <c r="E31" s="129"/>
      <c r="F31" s="236">
        <v>1</v>
      </c>
      <c r="G31" s="130">
        <v>276179</v>
      </c>
      <c r="H31" s="130">
        <f t="shared" si="0"/>
        <v>44188.639999999999</v>
      </c>
      <c r="I31" s="130">
        <f t="shared" si="1"/>
        <v>320367.64</v>
      </c>
      <c r="J31" s="236">
        <v>2</v>
      </c>
      <c r="K31" s="135">
        <f>SUM(G31*3.7287%)+G31</f>
        <v>286476.88637299999</v>
      </c>
      <c r="L31" s="131">
        <f t="shared" si="2"/>
        <v>45836.301819679997</v>
      </c>
      <c r="M31" s="131">
        <f>SUM(K31:L31)*J31</f>
        <v>664626.37638536002</v>
      </c>
      <c r="N31" s="129">
        <v>1</v>
      </c>
      <c r="O31" s="135">
        <f>SUM(K31*3.5947%)+K31</f>
        <v>296774.87100745022</v>
      </c>
      <c r="P31" s="130">
        <f t="shared" si="4"/>
        <v>47483.979361192032</v>
      </c>
      <c r="Q31" s="130">
        <f t="shared" si="5"/>
        <v>344258.85036864225</v>
      </c>
      <c r="R31" s="152"/>
    </row>
    <row r="32" spans="1:18" ht="24" x14ac:dyDescent="0.25">
      <c r="A32" s="240"/>
      <c r="B32" s="240"/>
      <c r="C32" s="128" t="s">
        <v>117</v>
      </c>
      <c r="D32" s="134">
        <v>1472.59</v>
      </c>
      <c r="E32" s="129"/>
      <c r="F32" s="237"/>
      <c r="G32" s="130">
        <v>868828</v>
      </c>
      <c r="H32" s="130">
        <f t="shared" si="0"/>
        <v>139012.48000000001</v>
      </c>
      <c r="I32" s="130">
        <f t="shared" si="1"/>
        <v>1007840.48</v>
      </c>
      <c r="J32" s="237"/>
      <c r="K32" s="135">
        <f>SUM(G32*3.7287%)+G32</f>
        <v>901223.98963600001</v>
      </c>
      <c r="L32" s="131">
        <f t="shared" si="2"/>
        <v>144195.83834176001</v>
      </c>
      <c r="M32" s="131">
        <f>SUM(K32:L32)*J31</f>
        <v>2090839.65595552</v>
      </c>
      <c r="N32" s="129">
        <v>1</v>
      </c>
      <c r="O32" s="135">
        <f t="shared" ref="O32:O43" si="6">SUM(K32*3.5947%)+K32</f>
        <v>933620.2883914453</v>
      </c>
      <c r="P32" s="130">
        <f t="shared" si="4"/>
        <v>149379.24614263125</v>
      </c>
      <c r="Q32" s="130">
        <f t="shared" si="5"/>
        <v>1082999.5345340765</v>
      </c>
      <c r="R32" s="152"/>
    </row>
    <row r="33" spans="1:18" ht="15" customHeight="1" x14ac:dyDescent="0.25">
      <c r="A33" s="240"/>
      <c r="B33" s="240"/>
      <c r="C33" s="128" t="s">
        <v>118</v>
      </c>
      <c r="D33" s="134"/>
      <c r="E33" s="129">
        <v>675.82</v>
      </c>
      <c r="F33" s="237"/>
      <c r="G33" s="130">
        <v>398250</v>
      </c>
      <c r="H33" s="130">
        <f t="shared" si="0"/>
        <v>63720</v>
      </c>
      <c r="I33" s="130">
        <f t="shared" si="1"/>
        <v>461970</v>
      </c>
      <c r="J33" s="237"/>
      <c r="K33" s="135">
        <f t="shared" ref="K33:K43" si="7">SUM(G33*3.7287%)+G33</f>
        <v>413099.54775000003</v>
      </c>
      <c r="L33" s="131">
        <f t="shared" si="2"/>
        <v>66095.927640000009</v>
      </c>
      <c r="M33" s="131">
        <f>SUM(K33:L33)*J31</f>
        <v>958390.95078000007</v>
      </c>
      <c r="N33" s="129">
        <v>1</v>
      </c>
      <c r="O33" s="135">
        <f t="shared" si="6"/>
        <v>427949.2371929693</v>
      </c>
      <c r="P33" s="130">
        <f t="shared" si="4"/>
        <v>68471.877950875089</v>
      </c>
      <c r="Q33" s="130">
        <f t="shared" si="5"/>
        <v>496421.11514384439</v>
      </c>
      <c r="R33" s="152"/>
    </row>
    <row r="34" spans="1:18" ht="15" customHeight="1" x14ac:dyDescent="0.25">
      <c r="A34" s="240"/>
      <c r="B34" s="240"/>
      <c r="C34" s="128" t="s">
        <v>119</v>
      </c>
      <c r="D34" s="134">
        <v>211.02</v>
      </c>
      <c r="E34" s="129"/>
      <c r="F34" s="237"/>
      <c r="G34" s="130">
        <v>124502</v>
      </c>
      <c r="H34" s="130">
        <f t="shared" si="0"/>
        <v>19920.32</v>
      </c>
      <c r="I34" s="130">
        <f t="shared" si="1"/>
        <v>144422.32</v>
      </c>
      <c r="J34" s="237"/>
      <c r="K34" s="135">
        <f t="shared" si="7"/>
        <v>129144.30607399999</v>
      </c>
      <c r="L34" s="131">
        <f t="shared" si="2"/>
        <v>20663.088971839999</v>
      </c>
      <c r="M34" s="131">
        <f>SUM(K34:L34)*J31</f>
        <v>299614.79009168001</v>
      </c>
      <c r="N34" s="129">
        <v>1</v>
      </c>
      <c r="O34" s="135">
        <f t="shared" si="6"/>
        <v>133786.65644444208</v>
      </c>
      <c r="P34" s="130">
        <f t="shared" si="4"/>
        <v>21405.865031110734</v>
      </c>
      <c r="Q34" s="130">
        <f t="shared" si="5"/>
        <v>155192.52147555281</v>
      </c>
      <c r="R34" s="152"/>
    </row>
    <row r="35" spans="1:18" ht="15" customHeight="1" x14ac:dyDescent="0.25">
      <c r="A35" s="240"/>
      <c r="B35" s="240"/>
      <c r="C35" s="128" t="s">
        <v>120</v>
      </c>
      <c r="D35" s="134">
        <v>573.64</v>
      </c>
      <c r="E35" s="129"/>
      <c r="F35" s="237"/>
      <c r="G35" s="130">
        <v>338448</v>
      </c>
      <c r="H35" s="130">
        <f t="shared" si="0"/>
        <v>54151.68</v>
      </c>
      <c r="I35" s="130">
        <f t="shared" si="1"/>
        <v>392599.68</v>
      </c>
      <c r="J35" s="237"/>
      <c r="K35" s="135">
        <f t="shared" si="7"/>
        <v>351067.71057599998</v>
      </c>
      <c r="L35" s="131">
        <f t="shared" si="2"/>
        <v>56170.833692159998</v>
      </c>
      <c r="M35" s="131">
        <f>SUM(K35:L35)*J31</f>
        <v>814477.08853632002</v>
      </c>
      <c r="N35" s="129">
        <v>1</v>
      </c>
      <c r="O35" s="135">
        <f t="shared" si="6"/>
        <v>363687.54156807548</v>
      </c>
      <c r="P35" s="130">
        <f t="shared" si="4"/>
        <v>58190.006650892079</v>
      </c>
      <c r="Q35" s="130">
        <f t="shared" si="5"/>
        <v>421877.54821896757</v>
      </c>
      <c r="R35" s="152"/>
    </row>
    <row r="36" spans="1:18" ht="15" customHeight="1" x14ac:dyDescent="0.25">
      <c r="A36" s="240"/>
      <c r="B36" s="240"/>
      <c r="C36" s="128" t="s">
        <v>121</v>
      </c>
      <c r="D36" s="134">
        <v>549.02</v>
      </c>
      <c r="E36" s="129"/>
      <c r="F36" s="237"/>
      <c r="G36" s="130">
        <v>323922</v>
      </c>
      <c r="H36" s="130">
        <f t="shared" si="0"/>
        <v>51827.520000000004</v>
      </c>
      <c r="I36" s="130">
        <f t="shared" si="1"/>
        <v>375749.52</v>
      </c>
      <c r="J36" s="237"/>
      <c r="K36" s="135">
        <f t="shared" si="7"/>
        <v>336000.07961399999</v>
      </c>
      <c r="L36" s="131">
        <f t="shared" si="2"/>
        <v>53760.012738240002</v>
      </c>
      <c r="M36" s="131">
        <f>SUM(K36:L36)*J31</f>
        <v>779520.18470447999</v>
      </c>
      <c r="N36" s="129">
        <v>1</v>
      </c>
      <c r="O36" s="135">
        <f t="shared" si="6"/>
        <v>348078.27447588445</v>
      </c>
      <c r="P36" s="130">
        <f t="shared" si="4"/>
        <v>55692.523916141516</v>
      </c>
      <c r="Q36" s="130">
        <f t="shared" si="5"/>
        <v>403770.79839202599</v>
      </c>
      <c r="R36" s="152"/>
    </row>
    <row r="37" spans="1:18" ht="15" customHeight="1" x14ac:dyDescent="0.25">
      <c r="A37" s="240"/>
      <c r="B37" s="240"/>
      <c r="C37" s="128" t="s">
        <v>122</v>
      </c>
      <c r="D37" s="134">
        <v>549.02</v>
      </c>
      <c r="E37" s="129"/>
      <c r="F37" s="237"/>
      <c r="G37" s="130">
        <v>323922</v>
      </c>
      <c r="H37" s="130">
        <f t="shared" si="0"/>
        <v>51827.520000000004</v>
      </c>
      <c r="I37" s="130">
        <f t="shared" si="1"/>
        <v>375749.52</v>
      </c>
      <c r="J37" s="237"/>
      <c r="K37" s="135">
        <f t="shared" si="7"/>
        <v>336000.07961399999</v>
      </c>
      <c r="L37" s="131">
        <f t="shared" si="2"/>
        <v>53760.012738240002</v>
      </c>
      <c r="M37" s="131">
        <f>SUM(K37:L37)*J31</f>
        <v>779520.18470447999</v>
      </c>
      <c r="N37" s="129">
        <v>1</v>
      </c>
      <c r="O37" s="135">
        <f t="shared" si="6"/>
        <v>348078.27447588445</v>
      </c>
      <c r="P37" s="130">
        <f t="shared" si="4"/>
        <v>55692.523916141516</v>
      </c>
      <c r="Q37" s="130">
        <f t="shared" si="5"/>
        <v>403770.79839202599</v>
      </c>
      <c r="R37" s="152"/>
    </row>
    <row r="38" spans="1:18" ht="15" customHeight="1" x14ac:dyDescent="0.25">
      <c r="A38" s="240"/>
      <c r="B38" s="240"/>
      <c r="C38" s="128" t="s">
        <v>123</v>
      </c>
      <c r="D38" s="134">
        <v>549.02</v>
      </c>
      <c r="E38" s="129"/>
      <c r="F38" s="237"/>
      <c r="G38" s="130">
        <v>323922</v>
      </c>
      <c r="H38" s="130">
        <f t="shared" si="0"/>
        <v>51827.520000000004</v>
      </c>
      <c r="I38" s="130">
        <f t="shared" si="1"/>
        <v>375749.52</v>
      </c>
      <c r="J38" s="237"/>
      <c r="K38" s="135">
        <f t="shared" si="7"/>
        <v>336000.07961399999</v>
      </c>
      <c r="L38" s="131">
        <f t="shared" si="2"/>
        <v>53760.012738240002</v>
      </c>
      <c r="M38" s="131">
        <f>SUM(K38:L38)*J31</f>
        <v>779520.18470447999</v>
      </c>
      <c r="N38" s="129">
        <v>1</v>
      </c>
      <c r="O38" s="135">
        <f t="shared" si="6"/>
        <v>348078.27447588445</v>
      </c>
      <c r="P38" s="130">
        <f t="shared" si="4"/>
        <v>55692.523916141516</v>
      </c>
      <c r="Q38" s="130">
        <f t="shared" si="5"/>
        <v>403770.79839202599</v>
      </c>
      <c r="R38" s="152"/>
    </row>
    <row r="39" spans="1:18" ht="15" customHeight="1" x14ac:dyDescent="0.25">
      <c r="A39" s="240"/>
      <c r="B39" s="240"/>
      <c r="C39" s="128" t="s">
        <v>124</v>
      </c>
      <c r="D39" s="134">
        <v>549.02</v>
      </c>
      <c r="E39" s="129"/>
      <c r="F39" s="237"/>
      <c r="G39" s="130">
        <v>323922</v>
      </c>
      <c r="H39" s="130">
        <f t="shared" si="0"/>
        <v>51827.520000000004</v>
      </c>
      <c r="I39" s="130">
        <f t="shared" si="1"/>
        <v>375749.52</v>
      </c>
      <c r="J39" s="237"/>
      <c r="K39" s="135">
        <f t="shared" si="7"/>
        <v>336000.07961399999</v>
      </c>
      <c r="L39" s="131">
        <f t="shared" si="2"/>
        <v>53760.012738240002</v>
      </c>
      <c r="M39" s="131">
        <f>SUM(K39:L39)*J31</f>
        <v>779520.18470447999</v>
      </c>
      <c r="N39" s="129">
        <v>1</v>
      </c>
      <c r="O39" s="135">
        <f t="shared" si="6"/>
        <v>348078.27447588445</v>
      </c>
      <c r="P39" s="130">
        <f t="shared" si="4"/>
        <v>55692.523916141516</v>
      </c>
      <c r="Q39" s="130">
        <f t="shared" si="5"/>
        <v>403770.79839202599</v>
      </c>
      <c r="R39" s="152"/>
    </row>
    <row r="40" spans="1:18" ht="15" customHeight="1" x14ac:dyDescent="0.25">
      <c r="A40" s="240"/>
      <c r="B40" s="240"/>
      <c r="C40" s="128" t="s">
        <v>125</v>
      </c>
      <c r="D40" s="134">
        <v>549.02</v>
      </c>
      <c r="E40" s="129"/>
      <c r="F40" s="237"/>
      <c r="G40" s="130">
        <v>323922</v>
      </c>
      <c r="H40" s="130">
        <f t="shared" si="0"/>
        <v>51827.520000000004</v>
      </c>
      <c r="I40" s="130">
        <f t="shared" si="1"/>
        <v>375749.52</v>
      </c>
      <c r="J40" s="237"/>
      <c r="K40" s="135">
        <f t="shared" si="7"/>
        <v>336000.07961399999</v>
      </c>
      <c r="L40" s="131">
        <f t="shared" si="2"/>
        <v>53760.012738240002</v>
      </c>
      <c r="M40" s="131">
        <f>SUM(K40:L40)*J31</f>
        <v>779520.18470447999</v>
      </c>
      <c r="N40" s="129">
        <v>1</v>
      </c>
      <c r="O40" s="135">
        <f t="shared" si="6"/>
        <v>348078.27447588445</v>
      </c>
      <c r="P40" s="130">
        <f t="shared" si="4"/>
        <v>55692.523916141516</v>
      </c>
      <c r="Q40" s="130">
        <f t="shared" si="5"/>
        <v>403770.79839202599</v>
      </c>
      <c r="R40" s="152"/>
    </row>
    <row r="41" spans="1:18" ht="15" customHeight="1" x14ac:dyDescent="0.25">
      <c r="A41" s="240"/>
      <c r="B41" s="240"/>
      <c r="C41" s="128" t="s">
        <v>126</v>
      </c>
      <c r="D41" s="134">
        <v>549.02</v>
      </c>
      <c r="E41" s="129"/>
      <c r="F41" s="237"/>
      <c r="G41" s="130">
        <v>323922</v>
      </c>
      <c r="H41" s="130">
        <f t="shared" si="0"/>
        <v>51827.520000000004</v>
      </c>
      <c r="I41" s="130">
        <f t="shared" si="1"/>
        <v>375749.52</v>
      </c>
      <c r="J41" s="237"/>
      <c r="K41" s="135">
        <f t="shared" si="7"/>
        <v>336000.07961399999</v>
      </c>
      <c r="L41" s="131">
        <f t="shared" si="2"/>
        <v>53760.012738240002</v>
      </c>
      <c r="M41" s="131">
        <f>SUM(K41:L41)*J31</f>
        <v>779520.18470447999</v>
      </c>
      <c r="N41" s="129">
        <v>1</v>
      </c>
      <c r="O41" s="135">
        <f t="shared" si="6"/>
        <v>348078.27447588445</v>
      </c>
      <c r="P41" s="130">
        <f t="shared" si="4"/>
        <v>55692.523916141516</v>
      </c>
      <c r="Q41" s="130">
        <f t="shared" si="5"/>
        <v>403770.79839202599</v>
      </c>
      <c r="R41" s="152"/>
    </row>
    <row r="42" spans="1:18" ht="24" x14ac:dyDescent="0.25">
      <c r="A42" s="240"/>
      <c r="B42" s="240"/>
      <c r="C42" s="128" t="s">
        <v>127</v>
      </c>
      <c r="D42" s="134">
        <v>292.3</v>
      </c>
      <c r="E42" s="129"/>
      <c r="F42" s="237"/>
      <c r="G42" s="130">
        <v>172457</v>
      </c>
      <c r="H42" s="130">
        <f t="shared" si="0"/>
        <v>27593.119999999999</v>
      </c>
      <c r="I42" s="130">
        <f t="shared" si="1"/>
        <v>200050.12</v>
      </c>
      <c r="J42" s="237"/>
      <c r="K42" s="135">
        <f t="shared" si="7"/>
        <v>178887.404159</v>
      </c>
      <c r="L42" s="131">
        <f t="shared" si="2"/>
        <v>28621.984665439999</v>
      </c>
      <c r="M42" s="131">
        <f>SUM(K42:L42)*J31</f>
        <v>415018.77764887997</v>
      </c>
      <c r="N42" s="129">
        <v>1</v>
      </c>
      <c r="O42" s="135">
        <f t="shared" si="6"/>
        <v>185317.86967630358</v>
      </c>
      <c r="P42" s="130">
        <f t="shared" si="4"/>
        <v>29650.859148208576</v>
      </c>
      <c r="Q42" s="130">
        <f t="shared" si="5"/>
        <v>214968.72882451216</v>
      </c>
      <c r="R42" s="152"/>
    </row>
    <row r="43" spans="1:18" ht="15" customHeight="1" x14ac:dyDescent="0.25">
      <c r="A43" s="240"/>
      <c r="B43" s="240"/>
      <c r="C43" s="128" t="s">
        <v>128</v>
      </c>
      <c r="D43" s="129"/>
      <c r="E43" s="134">
        <v>256.72000000000003</v>
      </c>
      <c r="F43" s="238"/>
      <c r="G43" s="130">
        <v>151040</v>
      </c>
      <c r="H43" s="130">
        <f t="shared" si="0"/>
        <v>24166.400000000001</v>
      </c>
      <c r="I43" s="130">
        <f t="shared" si="1"/>
        <v>175206.39999999999</v>
      </c>
      <c r="J43" s="238"/>
      <c r="K43" s="135">
        <f t="shared" si="7"/>
        <v>156671.82848</v>
      </c>
      <c r="L43" s="131">
        <f t="shared" si="2"/>
        <v>25067.4925568</v>
      </c>
      <c r="M43" s="131">
        <f>SUM(K43:L43)*J31</f>
        <v>363478.64207359997</v>
      </c>
      <c r="N43" s="129">
        <v>1</v>
      </c>
      <c r="O43" s="135">
        <f t="shared" si="6"/>
        <v>162303.71069837056</v>
      </c>
      <c r="P43" s="130">
        <f t="shared" si="4"/>
        <v>25968.59371173929</v>
      </c>
      <c r="Q43" s="130">
        <f t="shared" si="5"/>
        <v>188272.30441010985</v>
      </c>
      <c r="R43" s="152"/>
    </row>
    <row r="44" spans="1:18" ht="72.75" customHeight="1" x14ac:dyDescent="0.25">
      <c r="A44" s="136"/>
      <c r="B44" s="137"/>
      <c r="C44" s="137"/>
      <c r="D44" s="138"/>
      <c r="E44" s="138"/>
      <c r="F44" s="139"/>
      <c r="G44" s="232" t="s">
        <v>27</v>
      </c>
      <c r="H44" s="232"/>
      <c r="I44" s="140">
        <f>SUM(I4:I43)</f>
        <v>7597855.0799999991</v>
      </c>
      <c r="J44" s="141"/>
      <c r="K44" s="232" t="s">
        <v>133</v>
      </c>
      <c r="L44" s="232"/>
      <c r="M44" s="142">
        <f>SUM(M4:M43)</f>
        <v>15762313.789698245</v>
      </c>
      <c r="N44" s="141"/>
      <c r="O44" s="232" t="s">
        <v>141</v>
      </c>
      <c r="P44" s="232"/>
      <c r="Q44" s="143">
        <f>SUM(Q4:Q43)</f>
        <v>8174605.6333278595</v>
      </c>
      <c r="R44" s="152"/>
    </row>
    <row r="45" spans="1:18" ht="12.75" customHeight="1" x14ac:dyDescent="0.25">
      <c r="A45" s="144"/>
      <c r="B45" s="144"/>
      <c r="C45" s="144"/>
      <c r="D45" s="145"/>
      <c r="E45" s="145"/>
      <c r="F45" s="146"/>
      <c r="G45" s="147"/>
      <c r="Q45" s="148"/>
    </row>
    <row r="46" spans="1:18" ht="104.25" customHeight="1" x14ac:dyDescent="0.25">
      <c r="A46" s="149"/>
      <c r="B46" s="149"/>
      <c r="C46" s="149"/>
      <c r="D46" s="150"/>
      <c r="E46" s="150"/>
      <c r="F46" s="149"/>
      <c r="G46" s="247" t="s">
        <v>187</v>
      </c>
      <c r="H46" s="248"/>
      <c r="I46" s="248"/>
      <c r="J46" s="249"/>
      <c r="K46" s="241">
        <f>SUM(I44+M44+Q44)</f>
        <v>31534774.503026105</v>
      </c>
      <c r="L46" s="242"/>
      <c r="M46" s="242"/>
      <c r="N46" s="242"/>
      <c r="O46" s="242"/>
      <c r="P46" s="242"/>
      <c r="Q46" s="243"/>
      <c r="R46" s="132" t="s">
        <v>221</v>
      </c>
    </row>
    <row r="47" spans="1:18" ht="6.75" customHeight="1" x14ac:dyDescent="0.25">
      <c r="A47" s="149"/>
      <c r="B47" s="149"/>
      <c r="C47" s="149"/>
      <c r="D47" s="150"/>
      <c r="E47" s="150"/>
      <c r="F47" s="149"/>
      <c r="G47" s="246"/>
      <c r="H47" s="246"/>
      <c r="I47" s="146"/>
    </row>
    <row r="48" spans="1:18" ht="15" customHeight="1" x14ac:dyDescent="0.25">
      <c r="A48" s="217" t="s">
        <v>174</v>
      </c>
      <c r="B48" s="217"/>
      <c r="C48" s="217"/>
      <c r="D48" s="217"/>
      <c r="E48" s="217"/>
      <c r="F48" s="217"/>
      <c r="G48" s="217"/>
      <c r="H48" s="217"/>
      <c r="I48" s="217"/>
      <c r="J48" s="217"/>
      <c r="K48" s="217"/>
      <c r="L48" s="217"/>
      <c r="M48" s="217"/>
      <c r="N48" s="217"/>
      <c r="O48" s="217"/>
      <c r="P48" s="217"/>
      <c r="Q48" s="217"/>
    </row>
    <row r="49" spans="1:17" x14ac:dyDescent="0.25">
      <c r="A49" s="217"/>
      <c r="B49" s="217"/>
      <c r="C49" s="217"/>
      <c r="D49" s="217"/>
      <c r="E49" s="217"/>
      <c r="F49" s="217"/>
      <c r="G49" s="217"/>
      <c r="H49" s="217"/>
      <c r="I49" s="217"/>
      <c r="J49" s="217"/>
      <c r="K49" s="217"/>
      <c r="L49" s="217"/>
      <c r="M49" s="217"/>
      <c r="N49" s="217"/>
      <c r="O49" s="217"/>
      <c r="P49" s="217"/>
      <c r="Q49" s="217"/>
    </row>
    <row r="50" spans="1:17" ht="5.25" customHeight="1" x14ac:dyDescent="0.25">
      <c r="A50" s="77"/>
      <c r="B50" s="77"/>
      <c r="C50" s="77"/>
      <c r="D50" s="77"/>
      <c r="E50" s="77"/>
      <c r="F50" s="77"/>
      <c r="G50" s="77"/>
      <c r="H50" s="77"/>
    </row>
    <row r="51" spans="1:17" ht="81" x14ac:dyDescent="0.25">
      <c r="A51" s="110" t="s">
        <v>175</v>
      </c>
      <c r="B51" s="244" t="s">
        <v>176</v>
      </c>
      <c r="C51" s="244"/>
      <c r="D51" s="244"/>
      <c r="E51" s="244"/>
      <c r="F51" s="244"/>
      <c r="G51" s="244"/>
      <c r="H51" s="91" t="s">
        <v>177</v>
      </c>
    </row>
    <row r="52" spans="1:17" x14ac:dyDescent="0.25">
      <c r="A52" s="151"/>
      <c r="B52" s="245"/>
      <c r="C52" s="245"/>
      <c r="D52" s="245"/>
      <c r="E52" s="245"/>
      <c r="F52" s="245"/>
      <c r="G52" s="245"/>
      <c r="H52" s="92"/>
    </row>
    <row r="54" spans="1:17" ht="31.5" customHeight="1" x14ac:dyDescent="0.25">
      <c r="A54" s="215" t="s">
        <v>179</v>
      </c>
      <c r="B54" s="215"/>
      <c r="C54" s="215"/>
      <c r="D54" s="215"/>
      <c r="E54" s="215"/>
      <c r="F54" s="215"/>
      <c r="G54" s="215"/>
      <c r="H54" s="215"/>
      <c r="I54" s="215"/>
      <c r="J54" s="215"/>
      <c r="K54" s="215"/>
      <c r="L54" s="215"/>
      <c r="M54" s="215"/>
      <c r="N54" s="215"/>
      <c r="O54" s="215"/>
      <c r="P54" s="215"/>
      <c r="Q54" s="215"/>
    </row>
    <row r="56" spans="1:17" x14ac:dyDescent="0.25">
      <c r="A56" s="218" t="s">
        <v>236</v>
      </c>
      <c r="B56" s="218"/>
      <c r="C56" s="218"/>
      <c r="D56" s="218"/>
      <c r="E56" s="218"/>
      <c r="F56" s="218"/>
      <c r="G56" s="218"/>
      <c r="H56" s="218"/>
      <c r="I56" s="218"/>
      <c r="J56" s="218"/>
      <c r="K56" s="218"/>
      <c r="L56" s="218"/>
      <c r="M56" s="218"/>
      <c r="N56" s="218"/>
      <c r="O56" s="218"/>
      <c r="P56" s="218"/>
      <c r="Q56" s="218"/>
    </row>
    <row r="57" spans="1:17" ht="60" customHeight="1" x14ac:dyDescent="0.25">
      <c r="A57" s="218" t="s">
        <v>247</v>
      </c>
      <c r="B57" s="218"/>
      <c r="C57" s="218"/>
      <c r="D57" s="218"/>
      <c r="E57" s="218"/>
      <c r="F57" s="218"/>
      <c r="G57" s="218"/>
      <c r="H57" s="218"/>
      <c r="I57" s="218"/>
      <c r="J57" s="218"/>
      <c r="K57" s="218"/>
      <c r="L57" s="218"/>
      <c r="M57" s="218"/>
      <c r="N57" s="218"/>
      <c r="O57" s="218"/>
      <c r="P57" s="218"/>
      <c r="Q57" s="218"/>
    </row>
    <row r="58" spans="1:17" x14ac:dyDescent="0.25">
      <c r="A58" s="230" t="s">
        <v>246</v>
      </c>
      <c r="B58" s="230"/>
      <c r="C58" s="230"/>
      <c r="D58" s="230"/>
      <c r="E58" s="230"/>
      <c r="F58" s="230"/>
      <c r="G58" s="230"/>
      <c r="H58" s="230"/>
      <c r="I58" s="230"/>
      <c r="J58" s="230"/>
      <c r="K58" s="230"/>
      <c r="L58" s="230"/>
      <c r="M58" s="230"/>
      <c r="N58" s="230"/>
      <c r="O58" s="230"/>
      <c r="P58" s="230"/>
      <c r="Q58" s="230"/>
    </row>
  </sheetData>
  <mergeCells count="23">
    <mergeCell ref="A54:Q54"/>
    <mergeCell ref="K46:Q46"/>
    <mergeCell ref="B51:G51"/>
    <mergeCell ref="B52:G52"/>
    <mergeCell ref="A48:Q49"/>
    <mergeCell ref="G47:H47"/>
    <mergeCell ref="G46:J46"/>
    <mergeCell ref="R1:R3"/>
    <mergeCell ref="A56:Q56"/>
    <mergeCell ref="A57:Q57"/>
    <mergeCell ref="A58:Q58"/>
    <mergeCell ref="N1:Q1"/>
    <mergeCell ref="G44:H44"/>
    <mergeCell ref="K44:L44"/>
    <mergeCell ref="O44:P44"/>
    <mergeCell ref="A1:E1"/>
    <mergeCell ref="J31:J43"/>
    <mergeCell ref="F31:F43"/>
    <mergeCell ref="A2:C2"/>
    <mergeCell ref="A31:A43"/>
    <mergeCell ref="B31:B43"/>
    <mergeCell ref="F1:I1"/>
    <mergeCell ref="J1:M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A15" sqref="A15:M15"/>
    </sheetView>
  </sheetViews>
  <sheetFormatPr baseColWidth="10" defaultRowHeight="15" x14ac:dyDescent="0.25"/>
  <cols>
    <col min="1" max="1" width="27.85546875" customWidth="1"/>
    <col min="3" max="3" width="14.5703125" bestFit="1" customWidth="1"/>
    <col min="5" max="5" width="12" bestFit="1" customWidth="1"/>
    <col min="7" max="7" width="12" bestFit="1" customWidth="1"/>
    <col min="9" max="9" width="13.42578125" customWidth="1"/>
    <col min="11" max="11" width="12.7109375" customWidth="1"/>
    <col min="13" max="13" width="14.140625" customWidth="1"/>
  </cols>
  <sheetData>
    <row r="1" spans="1:17" ht="24.75" customHeight="1" x14ac:dyDescent="0.25">
      <c r="A1" s="254" t="s">
        <v>25</v>
      </c>
      <c r="B1" s="250" t="s">
        <v>138</v>
      </c>
      <c r="C1" s="250"/>
      <c r="D1" s="250"/>
      <c r="E1" s="250"/>
      <c r="F1" s="250" t="s">
        <v>139</v>
      </c>
      <c r="G1" s="250"/>
      <c r="H1" s="250"/>
      <c r="I1" s="250"/>
      <c r="J1" s="250" t="s">
        <v>140</v>
      </c>
      <c r="K1" s="250"/>
      <c r="L1" s="250"/>
      <c r="M1" s="250"/>
      <c r="N1" s="25"/>
    </row>
    <row r="2" spans="1:17" ht="36" x14ac:dyDescent="0.25">
      <c r="A2" s="254"/>
      <c r="B2" s="11" t="s">
        <v>135</v>
      </c>
      <c r="C2" s="11" t="s">
        <v>171</v>
      </c>
      <c r="D2" s="11" t="s">
        <v>189</v>
      </c>
      <c r="E2" s="11" t="s">
        <v>196</v>
      </c>
      <c r="F2" s="11" t="s">
        <v>134</v>
      </c>
      <c r="G2" s="11" t="s">
        <v>171</v>
      </c>
      <c r="H2" s="11" t="s">
        <v>189</v>
      </c>
      <c r="I2" s="11" t="s">
        <v>196</v>
      </c>
      <c r="J2" s="11" t="s">
        <v>134</v>
      </c>
      <c r="K2" s="11" t="s">
        <v>171</v>
      </c>
      <c r="L2" s="11" t="s">
        <v>189</v>
      </c>
      <c r="M2" s="11" t="s">
        <v>196</v>
      </c>
    </row>
    <row r="3" spans="1:17" ht="36" x14ac:dyDescent="0.25">
      <c r="A3" s="26" t="s">
        <v>170</v>
      </c>
      <c r="B3" s="12">
        <v>1</v>
      </c>
      <c r="C3" s="60">
        <v>2651000</v>
      </c>
      <c r="D3" s="60">
        <f>SUM(C3*16%)</f>
        <v>424160</v>
      </c>
      <c r="E3" s="60">
        <f>SUM(C3:D3)*B3</f>
        <v>3075160</v>
      </c>
      <c r="F3" s="12">
        <v>2</v>
      </c>
      <c r="G3" s="60">
        <f>SUM(C3*3.66%)+C3</f>
        <v>2748026.6</v>
      </c>
      <c r="H3" s="60">
        <f>SUM(G3*16%)</f>
        <v>439684.25600000005</v>
      </c>
      <c r="I3" s="60">
        <f>SUM(G3:H3)*F3</f>
        <v>6375421.7120000003</v>
      </c>
      <c r="J3" s="152">
        <v>1</v>
      </c>
      <c r="K3" s="155">
        <f>SUM(G3*3.66%)+G3</f>
        <v>2848604.3735600002</v>
      </c>
      <c r="L3" s="155">
        <f>SUM(K3*16%)</f>
        <v>455776.69976960006</v>
      </c>
      <c r="M3" s="155">
        <f>SUM(K3:L3)*J3</f>
        <v>3304381.0733296005</v>
      </c>
      <c r="N3" s="157"/>
    </row>
    <row r="4" spans="1:17" ht="6.75" customHeight="1" x14ac:dyDescent="0.25">
      <c r="A4" s="5"/>
      <c r="D4" s="37"/>
      <c r="J4" s="156"/>
      <c r="K4" s="156"/>
      <c r="L4" s="156"/>
      <c r="M4" s="148"/>
      <c r="N4" s="156"/>
    </row>
    <row r="5" spans="1:17" ht="15" customHeight="1" x14ac:dyDescent="0.25">
      <c r="A5" s="216" t="s">
        <v>195</v>
      </c>
      <c r="B5" s="216"/>
      <c r="C5" s="216"/>
      <c r="D5" s="216"/>
      <c r="E5" s="216"/>
      <c r="F5" s="216"/>
      <c r="G5" s="216"/>
      <c r="H5" s="216"/>
      <c r="I5" s="216"/>
      <c r="J5" s="251">
        <f>SUM(E3+I3+M3)</f>
        <v>12754962.785329603</v>
      </c>
      <c r="K5" s="252"/>
      <c r="L5" s="252"/>
      <c r="M5" s="253"/>
      <c r="N5" s="156"/>
    </row>
    <row r="6" spans="1:17" ht="9" customHeight="1" x14ac:dyDescent="0.25">
      <c r="A6" s="5"/>
    </row>
    <row r="7" spans="1:17" ht="15" customHeight="1" x14ac:dyDescent="0.25">
      <c r="A7" s="200" t="s">
        <v>178</v>
      </c>
      <c r="B7" s="200"/>
      <c r="C7" s="200"/>
      <c r="D7" s="200"/>
      <c r="E7" s="200"/>
      <c r="F7" s="200"/>
      <c r="G7" s="200"/>
      <c r="H7" s="200"/>
      <c r="I7" s="200"/>
      <c r="J7" s="200"/>
      <c r="K7" s="200"/>
      <c r="L7" s="200"/>
      <c r="M7" s="200"/>
      <c r="N7" s="31"/>
      <c r="O7" s="31"/>
      <c r="P7" s="31"/>
      <c r="Q7" s="31"/>
    </row>
    <row r="8" spans="1:17" ht="5.25" customHeight="1" x14ac:dyDescent="0.25">
      <c r="A8" s="1"/>
      <c r="B8" s="1"/>
      <c r="C8" s="1"/>
      <c r="D8" s="1"/>
      <c r="E8" s="1"/>
      <c r="F8" s="1"/>
      <c r="G8" s="1"/>
      <c r="H8" s="1"/>
      <c r="I8" s="10"/>
      <c r="J8" s="10"/>
      <c r="K8" s="10"/>
      <c r="L8" s="10"/>
      <c r="M8" s="10"/>
      <c r="N8" s="10"/>
      <c r="O8" s="10"/>
      <c r="P8" s="10"/>
      <c r="Q8" s="10"/>
    </row>
    <row r="9" spans="1:17" ht="81" x14ac:dyDescent="0.25">
      <c r="A9" s="27" t="s">
        <v>175</v>
      </c>
      <c r="B9" s="201" t="s">
        <v>176</v>
      </c>
      <c r="C9" s="201"/>
      <c r="D9" s="201"/>
      <c r="E9" s="201"/>
      <c r="F9" s="201"/>
      <c r="G9" s="201"/>
      <c r="H9" s="28" t="s">
        <v>177</v>
      </c>
      <c r="I9" s="10"/>
      <c r="J9" s="10"/>
      <c r="K9" s="10"/>
      <c r="L9" s="10"/>
      <c r="M9" s="10"/>
      <c r="N9" s="10"/>
      <c r="O9" s="10"/>
      <c r="P9" s="10"/>
      <c r="Q9" s="10"/>
    </row>
    <row r="10" spans="1:17" x14ac:dyDescent="0.25">
      <c r="A10" s="29"/>
      <c r="B10" s="219"/>
      <c r="C10" s="219"/>
      <c r="D10" s="219"/>
      <c r="E10" s="219"/>
      <c r="F10" s="219"/>
      <c r="G10" s="219"/>
      <c r="H10" s="2"/>
      <c r="I10" s="10"/>
      <c r="J10" s="10"/>
      <c r="K10" s="10"/>
      <c r="L10" s="10"/>
      <c r="M10" s="10"/>
      <c r="N10" s="10"/>
      <c r="O10" s="10"/>
      <c r="P10" s="10"/>
      <c r="Q10" s="10"/>
    </row>
    <row r="12" spans="1:17" ht="15" customHeight="1" x14ac:dyDescent="0.25">
      <c r="A12" s="203" t="s">
        <v>179</v>
      </c>
      <c r="B12" s="203"/>
      <c r="C12" s="203"/>
      <c r="D12" s="203"/>
      <c r="E12" s="203"/>
      <c r="F12" s="203"/>
      <c r="G12" s="203"/>
      <c r="H12" s="203"/>
      <c r="I12" s="203"/>
      <c r="J12" s="203"/>
      <c r="K12" s="203"/>
      <c r="L12" s="203"/>
      <c r="M12" s="203"/>
      <c r="N12" s="32"/>
      <c r="O12" s="32"/>
      <c r="P12" s="32"/>
      <c r="Q12" s="32"/>
    </row>
    <row r="14" spans="1:17" x14ac:dyDescent="0.25">
      <c r="A14" s="162" t="s">
        <v>253</v>
      </c>
      <c r="B14" s="162"/>
      <c r="C14" s="162"/>
      <c r="D14" s="162"/>
      <c r="E14" s="162"/>
      <c r="F14" s="162"/>
      <c r="G14" s="162"/>
      <c r="H14" s="162"/>
      <c r="I14" s="162"/>
      <c r="J14" s="162"/>
      <c r="K14" s="162"/>
      <c r="L14" s="162"/>
      <c r="M14" s="162"/>
    </row>
    <row r="15" spans="1:17" x14ac:dyDescent="0.25">
      <c r="A15" s="162" t="s">
        <v>254</v>
      </c>
      <c r="B15" s="162"/>
      <c r="C15" s="162"/>
      <c r="D15" s="162"/>
      <c r="E15" s="162"/>
      <c r="F15" s="162"/>
      <c r="G15" s="162"/>
      <c r="H15" s="162"/>
      <c r="I15" s="162"/>
      <c r="J15" s="162"/>
      <c r="K15" s="162"/>
      <c r="L15" s="162"/>
      <c r="M15" s="162"/>
    </row>
    <row r="16" spans="1:17" x14ac:dyDescent="0.25">
      <c r="A16" s="270" t="s">
        <v>252</v>
      </c>
      <c r="B16" s="270"/>
      <c r="C16" s="270"/>
      <c r="D16" s="270"/>
      <c r="E16" s="270"/>
      <c r="F16" s="270"/>
      <c r="G16" s="270"/>
      <c r="H16" s="270"/>
      <c r="I16" s="270"/>
      <c r="J16" s="270"/>
      <c r="K16" s="270"/>
      <c r="L16" s="270"/>
      <c r="M16" s="270"/>
    </row>
  </sheetData>
  <mergeCells count="13">
    <mergeCell ref="A16:M16"/>
    <mergeCell ref="A14:M14"/>
    <mergeCell ref="A15:M15"/>
    <mergeCell ref="F1:I1"/>
    <mergeCell ref="J1:M1"/>
    <mergeCell ref="J5:M5"/>
    <mergeCell ref="A1:A2"/>
    <mergeCell ref="B1:E1"/>
    <mergeCell ref="B9:G9"/>
    <mergeCell ref="B10:G10"/>
    <mergeCell ref="A7:M7"/>
    <mergeCell ref="A12:M12"/>
    <mergeCell ref="A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tabSelected="1" workbookViewId="0">
      <selection activeCell="A14" sqref="A14"/>
    </sheetView>
  </sheetViews>
  <sheetFormatPr baseColWidth="10" defaultRowHeight="15" x14ac:dyDescent="0.25"/>
  <cols>
    <col min="5" max="5" width="20.85546875" customWidth="1"/>
    <col min="6" max="6" width="52.28515625" customWidth="1"/>
    <col min="7" max="7" width="18.28515625" bestFit="1" customWidth="1"/>
    <col min="8" max="8" width="23.140625" customWidth="1"/>
  </cols>
  <sheetData>
    <row r="2" spans="1:8" x14ac:dyDescent="0.25">
      <c r="A2" s="263" t="s">
        <v>242</v>
      </c>
      <c r="B2" s="264"/>
      <c r="C2" s="264"/>
      <c r="D2" s="264"/>
      <c r="E2" s="264"/>
      <c r="F2" s="265"/>
      <c r="G2" s="260" t="s">
        <v>243</v>
      </c>
      <c r="H2" s="258" t="s">
        <v>244</v>
      </c>
    </row>
    <row r="3" spans="1:8" x14ac:dyDescent="0.25">
      <c r="A3" s="266"/>
      <c r="B3" s="267"/>
      <c r="C3" s="267"/>
      <c r="D3" s="267"/>
      <c r="E3" s="267"/>
      <c r="F3" s="268"/>
      <c r="G3" s="261"/>
      <c r="H3" s="259"/>
    </row>
    <row r="4" spans="1:8" x14ac:dyDescent="0.25">
      <c r="A4" s="262" t="s">
        <v>182</v>
      </c>
      <c r="B4" s="262"/>
      <c r="C4" s="262"/>
      <c r="D4" s="262"/>
      <c r="E4" s="262"/>
      <c r="F4" s="61">
        <f>SUM('Recurso Humano'!H79+'Recurso Humano'!H80+'Recurso Humano'!H81+'Insumos Aseo Cafetería'!G85+'Insumos Aseo Cafetería'!B2+'Insumos Aseo Cafetería'!B3+'Insumos Aseo Cafetería'!B4+'Equipos y Elementos Mínimos'!Q21+'Equipos y Elementos Mínimos'!U21+'Equipos y Elementos Mínimos'!Y21+'Equipos y Elementos Mínimos'!AC21+'Servicio Fumigación'!I44+'Lavada Vidrios'!E3)</f>
        <v>513879929.72070402</v>
      </c>
      <c r="G4" s="158">
        <v>507005625</v>
      </c>
      <c r="H4" s="61">
        <f>SUM(F4-G4)</f>
        <v>6874304.7207040191</v>
      </c>
    </row>
    <row r="5" spans="1:8" x14ac:dyDescent="0.25">
      <c r="A5" s="262" t="s">
        <v>183</v>
      </c>
      <c r="B5" s="262"/>
      <c r="C5" s="262"/>
      <c r="D5" s="262"/>
      <c r="E5" s="262"/>
      <c r="F5" s="61">
        <f>SUM('Recurso Humano'!H82+'Recurso Humano'!H83+'Recurso Humano'!H84+'Insumos Aseo Cafetería'!C2+'Insumos Aseo Cafetería'!C3+'Insumos Aseo Cafetería'!C4+'Equipos y Elementos Mínimos'!Q22+'Equipos y Elementos Mínimos'!U22+'Equipos y Elementos Mínimos'!Y22+'Equipos y Elementos Mínimos'!AC22+'Servicio Fumigación'!M44+'Lavada Vidrios'!I3)</f>
        <v>787673817.67885447</v>
      </c>
      <c r="G5" s="158">
        <v>795117397</v>
      </c>
      <c r="H5" s="61">
        <f t="shared" ref="H5:H6" si="0">SUM(F5-G5)</f>
        <v>-7443579.3211455345</v>
      </c>
    </row>
    <row r="6" spans="1:8" x14ac:dyDescent="0.25">
      <c r="A6" s="262" t="s">
        <v>184</v>
      </c>
      <c r="B6" s="262"/>
      <c r="C6" s="262"/>
      <c r="D6" s="262"/>
      <c r="E6" s="262"/>
      <c r="F6" s="61">
        <f>SUM('Recurso Humano'!H85+'Recurso Humano'!H86+'Recurso Humano'!H87+'Insumos Aseo Cafetería'!D2+'Insumos Aseo Cafetería'!D3+'Insumos Aseo Cafetería'!D4+'Equipos y Elementos Mínimos'!E23+'Equipos y Elementos Mínimos'!I23+'Equipos y Elementos Mínimos'!M23+'Equipos y Elementos Mínimos'!Q23+'Equipos y Elementos Mínimos'!U23+'Equipos y Elementos Mínimos'!Y23+'Equipos y Elementos Mínimos'!AC23+'Servicio Fumigación'!Q44+'Lavada Vidrios'!M3)</f>
        <v>281595469.59941304</v>
      </c>
      <c r="G6" s="158">
        <v>279055550</v>
      </c>
      <c r="H6" s="61">
        <f t="shared" si="0"/>
        <v>2539919.5994130373</v>
      </c>
    </row>
    <row r="7" spans="1:8" ht="2.25" customHeight="1" x14ac:dyDescent="0.25">
      <c r="A7" s="33"/>
      <c r="B7" s="33"/>
      <c r="C7" s="33"/>
      <c r="D7" s="33"/>
      <c r="E7" s="33"/>
      <c r="F7" s="12"/>
      <c r="G7" s="158"/>
      <c r="H7" s="12"/>
    </row>
    <row r="8" spans="1:8" x14ac:dyDescent="0.25">
      <c r="A8" s="262" t="s">
        <v>180</v>
      </c>
      <c r="B8" s="262"/>
      <c r="C8" s="262"/>
      <c r="D8" s="262"/>
      <c r="E8" s="262"/>
      <c r="F8" s="12"/>
      <c r="G8" s="158"/>
      <c r="H8" s="12"/>
    </row>
    <row r="9" spans="1:8" x14ac:dyDescent="0.25">
      <c r="A9" s="262" t="s">
        <v>181</v>
      </c>
      <c r="B9" s="262"/>
      <c r="C9" s="262"/>
      <c r="D9" s="262"/>
      <c r="E9" s="262"/>
      <c r="F9" s="61">
        <f>SUM(F4:F6)</f>
        <v>1583149216.9989715</v>
      </c>
      <c r="G9" s="158">
        <f>SUM(G4:G6)</f>
        <v>1581178572</v>
      </c>
      <c r="H9" s="61">
        <f>SUM(F9-G9)</f>
        <v>1970644.9989714622</v>
      </c>
    </row>
    <row r="11" spans="1:8" ht="78.75" customHeight="1" x14ac:dyDescent="0.25">
      <c r="A11" s="255" t="s">
        <v>248</v>
      </c>
      <c r="B11" s="256"/>
      <c r="C11" s="256"/>
      <c r="D11" s="256"/>
      <c r="E11" s="256"/>
      <c r="F11" s="257"/>
    </row>
    <row r="12" spans="1:8" ht="30.75" customHeight="1" x14ac:dyDescent="0.25">
      <c r="A12" s="255" t="s">
        <v>241</v>
      </c>
      <c r="B12" s="256"/>
      <c r="C12" s="256"/>
      <c r="D12" s="256"/>
      <c r="E12" s="256"/>
      <c r="F12" s="257"/>
    </row>
  </sheetData>
  <mergeCells count="10">
    <mergeCell ref="A12:F12"/>
    <mergeCell ref="A11:F11"/>
    <mergeCell ref="H2:H3"/>
    <mergeCell ref="G2:G3"/>
    <mergeCell ref="A9:E9"/>
    <mergeCell ref="A2:F3"/>
    <mergeCell ref="A4:E4"/>
    <mergeCell ref="A5:E5"/>
    <mergeCell ref="A6:E6"/>
    <mergeCell ref="A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Equipos y Elementos Mínimos</vt:lpstr>
      <vt:lpstr>Servicio Fumigación</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cp:lastPrinted>2015-04-13T20:17:14Z</cp:lastPrinted>
  <dcterms:created xsi:type="dcterms:W3CDTF">2015-03-20T13:49:04Z</dcterms:created>
  <dcterms:modified xsi:type="dcterms:W3CDTF">2015-04-23T00:41:27Z</dcterms:modified>
</cp:coreProperties>
</file>