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firstSheet="2" activeTab="5"/>
  </bookViews>
  <sheets>
    <sheet name="Recurso Humano" sheetId="1" r:id="rId1"/>
    <sheet name="Insumos Aseo Cafetería" sheetId="2" r:id="rId2"/>
    <sheet name="Servicio Fumigación" sheetId="3" r:id="rId3"/>
    <sheet name="Equipos y Elementos Mínimos" sheetId="7" r:id="rId4"/>
    <sheet name="Lavada Vidrios" sheetId="5" r:id="rId5"/>
    <sheet name="VLR TOTAL PROPUESTA" sheetId="6" r:id="rId6"/>
  </sheets>
  <calcPr calcId="145621"/>
</workbook>
</file>

<file path=xl/calcChain.xml><?xml version="1.0" encoding="utf-8"?>
<calcChain xmlns="http://schemas.openxmlformats.org/spreadsheetml/2006/main">
  <c r="D3" i="7" l="1"/>
  <c r="E3" i="7" s="1"/>
  <c r="D4" i="7"/>
  <c r="E4" i="7" s="1"/>
  <c r="D5" i="7"/>
  <c r="E5" i="7" s="1"/>
  <c r="D6" i="7"/>
  <c r="E6" i="7" s="1"/>
  <c r="H6" i="7"/>
  <c r="I6" i="7" s="1"/>
  <c r="L6" i="7"/>
  <c r="M6" i="7" s="1"/>
  <c r="P6" i="7"/>
  <c r="Q6" i="7"/>
  <c r="T6" i="7"/>
  <c r="U6" i="7" s="1"/>
  <c r="Y6" i="7"/>
  <c r="AB6" i="7"/>
  <c r="AC6" i="7"/>
  <c r="D7" i="7"/>
  <c r="E7" i="7" s="1"/>
  <c r="H7" i="7"/>
  <c r="I7" i="7" s="1"/>
  <c r="L7" i="7"/>
  <c r="M7" i="7" s="1"/>
  <c r="P7" i="7"/>
  <c r="Q7" i="7" s="1"/>
  <c r="T7" i="7"/>
  <c r="U7" i="7" s="1"/>
  <c r="Y7" i="7"/>
  <c r="AB7" i="7"/>
  <c r="AC7" i="7" s="1"/>
  <c r="D8" i="7"/>
  <c r="E8" i="7" s="1"/>
  <c r="H8" i="7"/>
  <c r="I8" i="7" s="1"/>
  <c r="D9" i="7"/>
  <c r="E9" i="7" s="1"/>
  <c r="H9" i="7"/>
  <c r="I9" i="7" s="1"/>
  <c r="L9" i="7"/>
  <c r="M9" i="7" s="1"/>
  <c r="P9" i="7"/>
  <c r="Q9" i="7" s="1"/>
  <c r="T9" i="7"/>
  <c r="U9" i="7"/>
  <c r="D10" i="7"/>
  <c r="E10" i="7" s="1"/>
  <c r="H10" i="7"/>
  <c r="I10" i="7" s="1"/>
  <c r="L10" i="7"/>
  <c r="M10" i="7" s="1"/>
  <c r="T10" i="7"/>
  <c r="U10" i="7" s="1"/>
  <c r="D11" i="7"/>
  <c r="E11" i="7" s="1"/>
  <c r="D12" i="7"/>
  <c r="E12" i="7" s="1"/>
  <c r="D13" i="7"/>
  <c r="E13" i="7" s="1"/>
  <c r="D14" i="7"/>
  <c r="E14" i="7"/>
  <c r="D15" i="7"/>
  <c r="E15" i="7" s="1"/>
  <c r="D16" i="7"/>
  <c r="E16" i="7" s="1"/>
  <c r="H16" i="7"/>
  <c r="I16" i="7" s="1"/>
  <c r="L16" i="7"/>
  <c r="M16" i="7" s="1"/>
  <c r="P16" i="7"/>
  <c r="Q16" i="7" s="1"/>
  <c r="T16" i="7"/>
  <c r="U16" i="7" s="1"/>
  <c r="Y16" i="7"/>
  <c r="AB16" i="7"/>
  <c r="AC16" i="7" s="1"/>
  <c r="D17" i="7"/>
  <c r="E17" i="7" s="1"/>
  <c r="D18" i="7"/>
  <c r="E18" i="7" s="1"/>
  <c r="D19" i="7"/>
  <c r="E19" i="7"/>
  <c r="H19" i="7"/>
  <c r="I19" i="7" s="1"/>
  <c r="L19" i="7"/>
  <c r="M19" i="7" s="1"/>
  <c r="P19" i="7"/>
  <c r="Q19" i="7" s="1"/>
  <c r="T19" i="7"/>
  <c r="U19" i="7"/>
  <c r="Y19" i="7"/>
  <c r="AB19" i="7"/>
  <c r="AC19" i="7" s="1"/>
  <c r="D20" i="7"/>
  <c r="E20" i="7" s="1"/>
  <c r="Y21" i="7" l="1"/>
  <c r="I21" i="7"/>
  <c r="E21" i="7"/>
  <c r="Y22" i="7"/>
  <c r="Y23" i="7" s="1"/>
  <c r="Q21" i="7"/>
  <c r="M21" i="7"/>
  <c r="AC21" i="7"/>
  <c r="U21" i="7"/>
  <c r="Y24" i="7" l="1"/>
  <c r="U24" i="7"/>
  <c r="U22" i="7"/>
  <c r="U23" i="7" s="1"/>
  <c r="AC22" i="7"/>
  <c r="AC23" i="7" s="1"/>
  <c r="M22" i="7"/>
  <c r="M23" i="7" s="1"/>
  <c r="M24" i="7"/>
  <c r="E22" i="7"/>
  <c r="E23" i="7" s="1"/>
  <c r="Q22" i="7"/>
  <c r="Q23" i="7" s="1"/>
  <c r="I22" i="7"/>
  <c r="I23" i="7" s="1"/>
  <c r="I24" i="7"/>
  <c r="AC24" i="7" l="1"/>
  <c r="Q24" i="7"/>
  <c r="E24" i="7"/>
  <c r="Q26" i="7" s="1"/>
  <c r="F6" i="6" l="1"/>
  <c r="F5" i="6"/>
  <c r="F4" i="6"/>
  <c r="F9" i="6" s="1"/>
  <c r="J5" i="5"/>
  <c r="M3" i="5"/>
  <c r="L3" i="5"/>
  <c r="K3" i="5"/>
  <c r="I3" i="5"/>
  <c r="H3" i="5"/>
  <c r="G3" i="5"/>
  <c r="E3" i="5"/>
  <c r="D3" i="5"/>
  <c r="K46" i="3"/>
  <c r="Q44" i="3"/>
  <c r="M44" i="3"/>
  <c r="I44" i="3"/>
  <c r="Q43" i="3"/>
  <c r="P43" i="3"/>
  <c r="O43" i="3"/>
  <c r="M43" i="3"/>
  <c r="L43" i="3"/>
  <c r="K43" i="3"/>
  <c r="I43" i="3"/>
  <c r="H43" i="3"/>
  <c r="Q42" i="3"/>
  <c r="P42" i="3"/>
  <c r="O42" i="3"/>
  <c r="M42" i="3"/>
  <c r="L42" i="3"/>
  <c r="K42" i="3"/>
  <c r="I42" i="3"/>
  <c r="H42" i="3"/>
  <c r="Q41" i="3"/>
  <c r="P41" i="3"/>
  <c r="O41" i="3"/>
  <c r="M41" i="3"/>
  <c r="L41" i="3"/>
  <c r="K41" i="3"/>
  <c r="I41" i="3"/>
  <c r="H41" i="3"/>
  <c r="Q40" i="3"/>
  <c r="P40" i="3"/>
  <c r="O40" i="3"/>
  <c r="M40" i="3"/>
  <c r="L40" i="3"/>
  <c r="K40" i="3"/>
  <c r="I40" i="3"/>
  <c r="H40" i="3"/>
  <c r="Q39" i="3"/>
  <c r="P39" i="3"/>
  <c r="O39" i="3"/>
  <c r="M39" i="3"/>
  <c r="L39" i="3"/>
  <c r="K39" i="3"/>
  <c r="I39" i="3"/>
  <c r="H39" i="3"/>
  <c r="Q38" i="3"/>
  <c r="P38" i="3"/>
  <c r="O38" i="3"/>
  <c r="M38" i="3"/>
  <c r="L38" i="3"/>
  <c r="K38" i="3"/>
  <c r="I38" i="3"/>
  <c r="H38" i="3"/>
  <c r="Q37" i="3"/>
  <c r="P37" i="3"/>
  <c r="O37" i="3"/>
  <c r="M37" i="3"/>
  <c r="L37" i="3"/>
  <c r="K37" i="3"/>
  <c r="I37" i="3"/>
  <c r="H37" i="3"/>
  <c r="Q36" i="3"/>
  <c r="P36" i="3"/>
  <c r="O36" i="3"/>
  <c r="M36" i="3"/>
  <c r="L36" i="3"/>
  <c r="K36" i="3"/>
  <c r="I36" i="3"/>
  <c r="H36" i="3"/>
  <c r="Q35" i="3"/>
  <c r="P35" i="3"/>
  <c r="O35" i="3"/>
  <c r="M35" i="3"/>
  <c r="L35" i="3"/>
  <c r="K35" i="3"/>
  <c r="I35" i="3"/>
  <c r="H35" i="3"/>
  <c r="Q34" i="3"/>
  <c r="P34" i="3"/>
  <c r="O34" i="3"/>
  <c r="M34" i="3"/>
  <c r="L34" i="3"/>
  <c r="K34" i="3"/>
  <c r="I34" i="3"/>
  <c r="H34" i="3"/>
  <c r="Q33" i="3"/>
  <c r="P33" i="3"/>
  <c r="O33" i="3"/>
  <c r="M33" i="3"/>
  <c r="L33" i="3"/>
  <c r="K33" i="3"/>
  <c r="I33" i="3"/>
  <c r="H33" i="3"/>
  <c r="Q32" i="3"/>
  <c r="P32" i="3"/>
  <c r="O32" i="3"/>
  <c r="M32" i="3"/>
  <c r="L32" i="3"/>
  <c r="K32" i="3"/>
  <c r="I32" i="3"/>
  <c r="H32" i="3"/>
  <c r="Q31" i="3"/>
  <c r="P31" i="3"/>
  <c r="O31" i="3"/>
  <c r="M31" i="3"/>
  <c r="L31" i="3"/>
  <c r="K31" i="3"/>
  <c r="I31" i="3"/>
  <c r="H31" i="3"/>
  <c r="Q30" i="3"/>
  <c r="P30" i="3"/>
  <c r="O30" i="3"/>
  <c r="M30" i="3"/>
  <c r="L30" i="3"/>
  <c r="K30" i="3"/>
  <c r="I30" i="3"/>
  <c r="H30" i="3"/>
  <c r="Q29" i="3"/>
  <c r="P29" i="3"/>
  <c r="O29" i="3"/>
  <c r="M29" i="3"/>
  <c r="L29" i="3"/>
  <c r="K29" i="3"/>
  <c r="I29" i="3"/>
  <c r="H29" i="3"/>
  <c r="Q28" i="3"/>
  <c r="P28" i="3"/>
  <c r="O28" i="3"/>
  <c r="M28" i="3"/>
  <c r="L28" i="3"/>
  <c r="K28" i="3"/>
  <c r="I28" i="3"/>
  <c r="H28" i="3"/>
  <c r="Q27" i="3"/>
  <c r="P27" i="3"/>
  <c r="O27" i="3"/>
  <c r="M27" i="3"/>
  <c r="L27" i="3"/>
  <c r="K27" i="3"/>
  <c r="I27" i="3"/>
  <c r="H27" i="3"/>
  <c r="Q26" i="3"/>
  <c r="P26" i="3"/>
  <c r="O26" i="3"/>
  <c r="M26" i="3"/>
  <c r="L26" i="3"/>
  <c r="K26" i="3"/>
  <c r="I26" i="3"/>
  <c r="H26" i="3"/>
  <c r="Q25" i="3"/>
  <c r="P25" i="3"/>
  <c r="O25" i="3"/>
  <c r="M25" i="3"/>
  <c r="L25" i="3"/>
  <c r="K25" i="3"/>
  <c r="I25" i="3"/>
  <c r="H25" i="3"/>
  <c r="Q24" i="3"/>
  <c r="P24" i="3"/>
  <c r="O24" i="3"/>
  <c r="M24" i="3"/>
  <c r="L24" i="3"/>
  <c r="K24" i="3"/>
  <c r="I24" i="3"/>
  <c r="H24" i="3"/>
  <c r="Q23" i="3"/>
  <c r="P23" i="3"/>
  <c r="O23" i="3"/>
  <c r="M23" i="3"/>
  <c r="L23" i="3"/>
  <c r="K23" i="3"/>
  <c r="I23" i="3"/>
  <c r="H23" i="3"/>
  <c r="Q22" i="3"/>
  <c r="P22" i="3"/>
  <c r="O22" i="3"/>
  <c r="M22" i="3"/>
  <c r="L22" i="3"/>
  <c r="K22" i="3"/>
  <c r="I22" i="3"/>
  <c r="H22" i="3"/>
  <c r="Q21" i="3"/>
  <c r="P21" i="3"/>
  <c r="O21" i="3"/>
  <c r="M21" i="3"/>
  <c r="L21" i="3"/>
  <c r="K21" i="3"/>
  <c r="I21" i="3"/>
  <c r="H21" i="3"/>
  <c r="Q20" i="3"/>
  <c r="P20" i="3"/>
  <c r="O20" i="3"/>
  <c r="M20" i="3"/>
  <c r="L20" i="3"/>
  <c r="K20" i="3"/>
  <c r="I20" i="3"/>
  <c r="H20" i="3"/>
  <c r="Q19" i="3"/>
  <c r="P19" i="3"/>
  <c r="O19" i="3"/>
  <c r="M19" i="3"/>
  <c r="L19" i="3"/>
  <c r="K19" i="3"/>
  <c r="I19" i="3"/>
  <c r="H19" i="3"/>
  <c r="Q18" i="3"/>
  <c r="P18" i="3"/>
  <c r="O18" i="3"/>
  <c r="M18" i="3"/>
  <c r="L18" i="3"/>
  <c r="K18" i="3"/>
  <c r="I18" i="3"/>
  <c r="H18" i="3"/>
  <c r="Q17" i="3"/>
  <c r="P17" i="3"/>
  <c r="O17" i="3"/>
  <c r="M17" i="3"/>
  <c r="L17" i="3"/>
  <c r="K17" i="3"/>
  <c r="I17" i="3"/>
  <c r="H17" i="3"/>
  <c r="Q16" i="3"/>
  <c r="P16" i="3"/>
  <c r="O16" i="3"/>
  <c r="M16" i="3"/>
  <c r="L16" i="3"/>
  <c r="K16" i="3"/>
  <c r="I16" i="3"/>
  <c r="H16" i="3"/>
  <c r="Q15" i="3"/>
  <c r="O15" i="3"/>
  <c r="M15" i="3"/>
  <c r="K15" i="3"/>
  <c r="I15" i="3"/>
  <c r="Q14" i="3"/>
  <c r="P14" i="3"/>
  <c r="O14" i="3"/>
  <c r="M14" i="3"/>
  <c r="L14" i="3"/>
  <c r="K14" i="3"/>
  <c r="I14" i="3"/>
  <c r="H14" i="3"/>
  <c r="Q13" i="3"/>
  <c r="P13" i="3"/>
  <c r="O13" i="3"/>
  <c r="M13" i="3"/>
  <c r="L13" i="3"/>
  <c r="K13" i="3"/>
  <c r="I13" i="3"/>
  <c r="H13" i="3"/>
  <c r="Q12" i="3"/>
  <c r="P12" i="3"/>
  <c r="O12" i="3"/>
  <c r="M12" i="3"/>
  <c r="L12" i="3"/>
  <c r="K12" i="3"/>
  <c r="I12" i="3"/>
  <c r="H12" i="3"/>
  <c r="Q11" i="3"/>
  <c r="P11" i="3"/>
  <c r="O11" i="3"/>
  <c r="M11" i="3"/>
  <c r="L11" i="3"/>
  <c r="K11" i="3"/>
  <c r="I11" i="3"/>
  <c r="H11" i="3"/>
  <c r="Q10" i="3"/>
  <c r="P10" i="3"/>
  <c r="O10" i="3"/>
  <c r="M10" i="3"/>
  <c r="L10" i="3"/>
  <c r="K10" i="3"/>
  <c r="I10" i="3"/>
  <c r="H10" i="3"/>
  <c r="Q9" i="3"/>
  <c r="P9" i="3"/>
  <c r="O9" i="3"/>
  <c r="M9" i="3"/>
  <c r="L9" i="3"/>
  <c r="K9" i="3"/>
  <c r="I9" i="3"/>
  <c r="H9" i="3"/>
  <c r="Q8" i="3"/>
  <c r="P8" i="3"/>
  <c r="O8" i="3"/>
  <c r="M8" i="3"/>
  <c r="L8" i="3"/>
  <c r="K8" i="3"/>
  <c r="I8" i="3"/>
  <c r="H8" i="3"/>
  <c r="Q7" i="3"/>
  <c r="P7" i="3"/>
  <c r="O7" i="3"/>
  <c r="M7" i="3"/>
  <c r="L7" i="3"/>
  <c r="K7" i="3"/>
  <c r="I7" i="3"/>
  <c r="H7" i="3"/>
  <c r="Q6" i="3"/>
  <c r="P6" i="3"/>
  <c r="O6" i="3"/>
  <c r="M6" i="3"/>
  <c r="L6" i="3"/>
  <c r="K6" i="3"/>
  <c r="I6" i="3"/>
  <c r="H6" i="3"/>
  <c r="Q5" i="3"/>
  <c r="P5" i="3"/>
  <c r="O5" i="3"/>
  <c r="M5" i="3"/>
  <c r="L5" i="3"/>
  <c r="K5" i="3"/>
  <c r="I5" i="3"/>
  <c r="H5" i="3"/>
  <c r="Q4" i="3"/>
  <c r="P4" i="3"/>
  <c r="O4" i="3"/>
  <c r="M4" i="3"/>
  <c r="L4" i="3"/>
  <c r="K4" i="3"/>
  <c r="I4" i="3"/>
  <c r="H4" i="3"/>
  <c r="C6" i="2"/>
  <c r="D4" i="2"/>
  <c r="C4" i="2"/>
  <c r="B4" i="2"/>
  <c r="C3" i="2"/>
  <c r="D2" i="2"/>
  <c r="H90" i="1"/>
  <c r="H89" i="1"/>
  <c r="H88" i="1"/>
  <c r="H87" i="1"/>
  <c r="H86" i="1"/>
  <c r="H85" i="1"/>
  <c r="H84" i="1"/>
  <c r="H82" i="1"/>
  <c r="H81" i="1"/>
  <c r="H80" i="1"/>
  <c r="H78" i="1"/>
  <c r="G78" i="1"/>
  <c r="F78" i="1"/>
  <c r="E78" i="1"/>
  <c r="H77" i="1"/>
  <c r="F77" i="1"/>
  <c r="H76" i="1"/>
  <c r="G76" i="1"/>
  <c r="F76" i="1"/>
  <c r="E76" i="1"/>
  <c r="H75" i="1"/>
  <c r="G75" i="1"/>
  <c r="F75" i="1"/>
  <c r="E75" i="1"/>
  <c r="H74" i="1"/>
  <c r="G74" i="1"/>
  <c r="F74" i="1"/>
  <c r="E74" i="1"/>
  <c r="H73" i="1"/>
  <c r="G73" i="1"/>
  <c r="F73" i="1"/>
  <c r="E73" i="1"/>
  <c r="H72" i="1"/>
  <c r="G72" i="1"/>
  <c r="F72" i="1"/>
  <c r="E72" i="1"/>
  <c r="H71" i="1"/>
  <c r="G71" i="1"/>
  <c r="F71" i="1"/>
  <c r="E71" i="1"/>
  <c r="H70" i="1"/>
  <c r="G70" i="1"/>
  <c r="F70" i="1"/>
  <c r="E70" i="1"/>
  <c r="H69" i="1"/>
  <c r="G69" i="1"/>
  <c r="F69" i="1"/>
  <c r="H68" i="1"/>
  <c r="G68" i="1"/>
  <c r="F68" i="1"/>
  <c r="H67" i="1"/>
  <c r="H65" i="1"/>
  <c r="G65" i="1"/>
  <c r="F65" i="1"/>
  <c r="E65" i="1"/>
  <c r="H64" i="1"/>
  <c r="F64" i="1"/>
  <c r="H63" i="1"/>
  <c r="G63" i="1"/>
  <c r="F63" i="1"/>
  <c r="E63" i="1"/>
  <c r="H62" i="1"/>
  <c r="G62" i="1"/>
  <c r="F62" i="1"/>
  <c r="E62" i="1"/>
  <c r="H61" i="1"/>
  <c r="G61" i="1"/>
  <c r="F61" i="1"/>
  <c r="E61" i="1"/>
  <c r="H60" i="1"/>
  <c r="G60" i="1"/>
  <c r="F60" i="1"/>
  <c r="E60" i="1"/>
  <c r="H59" i="1"/>
  <c r="G59" i="1"/>
  <c r="F59" i="1"/>
  <c r="E59" i="1"/>
  <c r="H58" i="1"/>
  <c r="G58" i="1"/>
  <c r="F58" i="1"/>
  <c r="E58" i="1"/>
  <c r="H57" i="1"/>
  <c r="G57" i="1"/>
  <c r="F57" i="1"/>
  <c r="E57" i="1"/>
  <c r="H56" i="1"/>
  <c r="G56" i="1"/>
  <c r="F56" i="1"/>
  <c r="H55" i="1"/>
  <c r="G55" i="1"/>
  <c r="F55" i="1"/>
  <c r="H54" i="1"/>
  <c r="H53" i="1"/>
  <c r="G53" i="1"/>
  <c r="F53" i="1"/>
  <c r="E53" i="1"/>
  <c r="H52" i="1"/>
  <c r="F52" i="1"/>
  <c r="H51" i="1"/>
  <c r="G51" i="1"/>
  <c r="F51" i="1"/>
  <c r="E51" i="1"/>
  <c r="H50" i="1"/>
  <c r="G50" i="1"/>
  <c r="F50" i="1"/>
  <c r="E50" i="1"/>
  <c r="H49" i="1"/>
  <c r="G49" i="1"/>
  <c r="F49" i="1"/>
  <c r="E49" i="1"/>
  <c r="H48" i="1"/>
  <c r="G48" i="1"/>
  <c r="F48" i="1"/>
  <c r="E48" i="1"/>
  <c r="H47" i="1"/>
  <c r="G47" i="1"/>
  <c r="F47" i="1"/>
  <c r="E47" i="1"/>
  <c r="H46" i="1"/>
  <c r="G46" i="1"/>
  <c r="F46" i="1"/>
  <c r="E46" i="1"/>
  <c r="H45" i="1"/>
  <c r="G45" i="1"/>
  <c r="F45" i="1"/>
  <c r="E45" i="1"/>
  <c r="H44" i="1"/>
  <c r="G44" i="1"/>
  <c r="F44" i="1"/>
  <c r="H43" i="1"/>
  <c r="G43" i="1"/>
  <c r="F43" i="1"/>
  <c r="H42" i="1"/>
  <c r="H41" i="1"/>
  <c r="F41" i="1"/>
  <c r="H40" i="1"/>
  <c r="F40" i="1"/>
  <c r="E40" i="1"/>
  <c r="H39" i="1"/>
  <c r="F39" i="1"/>
  <c r="H38" i="1"/>
  <c r="F38" i="1"/>
  <c r="E38" i="1"/>
  <c r="H37" i="1"/>
  <c r="F37" i="1"/>
  <c r="E37" i="1"/>
  <c r="H36" i="1"/>
  <c r="F36" i="1"/>
  <c r="E36" i="1"/>
  <c r="H35" i="1"/>
  <c r="F35" i="1"/>
  <c r="E35" i="1"/>
  <c r="H34" i="1"/>
  <c r="F34" i="1"/>
  <c r="E34" i="1"/>
  <c r="H33" i="1"/>
  <c r="F33" i="1"/>
  <c r="E33" i="1"/>
  <c r="H32" i="1"/>
  <c r="F32" i="1"/>
  <c r="E32" i="1"/>
  <c r="H31" i="1"/>
  <c r="F31" i="1"/>
  <c r="H30" i="1"/>
  <c r="F30" i="1"/>
  <c r="E30" i="1"/>
  <c r="H29" i="1"/>
  <c r="H28" i="1"/>
  <c r="G28" i="1"/>
  <c r="F28" i="1"/>
  <c r="H27" i="1"/>
  <c r="G27" i="1"/>
  <c r="F27" i="1"/>
  <c r="E27" i="1"/>
  <c r="H26" i="1"/>
  <c r="G26" i="1"/>
  <c r="F26" i="1"/>
  <c r="H25" i="1"/>
  <c r="G25" i="1"/>
  <c r="F25" i="1"/>
  <c r="E25" i="1"/>
  <c r="H24" i="1"/>
  <c r="G24" i="1"/>
  <c r="F24" i="1"/>
  <c r="E24" i="1"/>
  <c r="H23" i="1"/>
  <c r="G23" i="1"/>
  <c r="F23" i="1"/>
  <c r="E23" i="1"/>
  <c r="H22" i="1"/>
  <c r="G22" i="1"/>
  <c r="F22" i="1"/>
  <c r="E22" i="1"/>
  <c r="H21" i="1"/>
  <c r="G21" i="1"/>
  <c r="F21" i="1"/>
  <c r="E21" i="1"/>
  <c r="H20" i="1"/>
  <c r="G20" i="1"/>
  <c r="F20" i="1"/>
  <c r="E20" i="1"/>
  <c r="H19" i="1"/>
  <c r="G19" i="1"/>
  <c r="F19" i="1"/>
  <c r="E19" i="1"/>
  <c r="H18" i="1"/>
  <c r="G18" i="1"/>
  <c r="F18" i="1"/>
  <c r="H17" i="1"/>
  <c r="G17" i="1"/>
  <c r="F17" i="1"/>
  <c r="E17" i="1"/>
  <c r="H16" i="1"/>
  <c r="H15" i="1"/>
  <c r="G15" i="1"/>
  <c r="F15" i="1"/>
  <c r="H14" i="1"/>
  <c r="G14" i="1"/>
  <c r="F14" i="1"/>
  <c r="E14" i="1"/>
  <c r="H13" i="1"/>
  <c r="G13" i="1"/>
  <c r="F13" i="1"/>
  <c r="H12" i="1"/>
  <c r="G12" i="1"/>
  <c r="F12" i="1"/>
  <c r="E12" i="1"/>
  <c r="H11" i="1"/>
  <c r="G11" i="1"/>
  <c r="F11" i="1"/>
  <c r="E11" i="1"/>
  <c r="H10" i="1"/>
  <c r="G10" i="1"/>
  <c r="F10" i="1"/>
  <c r="E10" i="1"/>
  <c r="H9" i="1"/>
  <c r="G9" i="1"/>
  <c r="F9" i="1"/>
  <c r="E9" i="1"/>
  <c r="H8" i="1"/>
  <c r="G8" i="1"/>
  <c r="F8" i="1"/>
  <c r="E8" i="1"/>
  <c r="H7" i="1"/>
  <c r="G7" i="1"/>
  <c r="F7" i="1"/>
  <c r="E7" i="1"/>
  <c r="H6" i="1"/>
  <c r="G6" i="1"/>
  <c r="F6" i="1"/>
  <c r="E6" i="1"/>
  <c r="H5" i="1"/>
  <c r="G5" i="1"/>
  <c r="F5" i="1"/>
  <c r="H4" i="1"/>
  <c r="G4" i="1"/>
  <c r="F4" i="1"/>
</calcChain>
</file>

<file path=xl/sharedStrings.xml><?xml version="1.0" encoding="utf-8"?>
<sst xmlns="http://schemas.openxmlformats.org/spreadsheetml/2006/main" count="473" uniqueCount="233">
  <si>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</si>
  <si>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</si>
  <si>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</si>
  <si>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</si>
  <si>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</si>
  <si>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</si>
  <si>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</si>
  <si>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</si>
  <si>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</si>
  <si>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</si>
  <si>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</si>
  <si>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</si>
  <si>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</si>
  <si>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</si>
  <si>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</si>
  <si>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</si>
  <si>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</si>
  <si>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</si>
  <si>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</si>
  <si>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</si>
  <si>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</si>
  <si>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</si>
  <si>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</si>
  <si>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</si>
  <si>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</si>
  <si>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</si>
  <si>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</si>
  <si>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</si>
  <si>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</si>
  <si>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</si>
  <si>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</si>
  <si>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</si>
  <si>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</si>
  <si>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</si>
  <si>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</si>
  <si>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</si>
  <si>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</si>
  <si>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</si>
  <si>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</si>
  <si>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</si>
  <si>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</si>
  <si>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</si>
  <si>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</si>
  <si>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</si>
  <si>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</si>
  <si>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</si>
  <si>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</si>
  <si>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</si>
  <si>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</si>
  <si>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</si>
  <si>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</si>
  <si>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</si>
  <si>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</si>
  <si>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</si>
  <si>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</si>
  <si>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</si>
  <si>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</si>
  <si>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</si>
  <si>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</si>
  <si>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</si>
  <si>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</si>
  <si>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</si>
  <si>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</si>
  <si>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</si>
  <si>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</si>
  <si>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</si>
  <si>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</si>
  <si>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</si>
  <si>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</si>
  <si>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</si>
  <si>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</si>
  <si>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</si>
  <si>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</si>
  <si>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</si>
  <si>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</si>
  <si>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</si>
  <si>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</si>
  <si>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</si>
  <si>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</si>
  <si>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</si>
  <si>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</si>
  <si>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</si>
  <si>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</si>
  <si>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</si>
  <si>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</si>
  <si>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</si>
  <si>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</si>
  <si>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</si>
  <si>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</si>
  <si>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</si>
  <si>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</si>
  <si>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</si>
  <si>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</si>
  <si>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</si>
  <si>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</si>
  <si>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</si>
  <si>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</si>
  <si>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</si>
  <si>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</si>
  <si>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</si>
  <si>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</si>
  <si>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</si>
  <si>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</si>
  <si>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</si>
  <si>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</si>
  <si>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</si>
  <si>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</si>
  <si>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</si>
  <si>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</si>
  <si>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</si>
  <si>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</si>
  <si>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</si>
  <si>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</si>
  <si>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</si>
  <si>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</si>
  <si>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</si>
  <si>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</si>
  <si>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</si>
  <si>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</si>
  <si>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</si>
  <si>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</si>
  <si>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</si>
  <si>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</si>
  <si>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</si>
  <si>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</si>
  <si>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</si>
  <si>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</si>
  <si>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</si>
  <si>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</si>
  <si>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</si>
  <si>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</si>
  <si>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</si>
  <si>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</si>
  <si>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</si>
  <si>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</si>
  <si>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</si>
  <si>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</si>
  <si>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</si>
  <si>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</si>
  <si>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</si>
  <si>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</si>
  <si>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</si>
  <si>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</si>
  <si>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</si>
  <si>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</si>
  <si>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</si>
  <si>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</si>
  <si>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</si>
  <si>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</si>
  <si>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</si>
  <si>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</si>
  <si>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</si>
  <si>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</si>
  <si>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</si>
  <si>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</si>
  <si>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</si>
  <si>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</si>
  <si>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</si>
  <si>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</si>
  <si>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</si>
  <si>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</si>
  <si>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</si>
  <si>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</si>
  <si>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</si>
  <si>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</si>
  <si>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</si>
  <si>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</si>
  <si>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</si>
  <si>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</si>
  <si>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</si>
  <si>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</si>
  <si>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</si>
  <si>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</si>
  <si>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</si>
  <si>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</si>
  <si>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</si>
  <si>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</si>
  <si>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</si>
  <si>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</si>
  <si>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</si>
  <si>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</si>
  <si>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</si>
  <si>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</si>
  <si>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</si>
  <si>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</si>
  <si>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</si>
  <si>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</si>
  <si>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</si>
  <si>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</si>
  <si>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</si>
  <si>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</si>
  <si>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</si>
  <si>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</si>
  <si>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</si>
  <si>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</si>
  <si>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</si>
  <si>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</si>
  <si>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</si>
  <si>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</si>
  <si>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</si>
  <si>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</si>
  <si>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</si>
  <si>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PROPUESTA ECONÓMICA</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</si>
  <si>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</si>
  <si>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</si>
  <si>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</si>
  <si>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</si>
  <si>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</si>
  <si>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</si>
  <si>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AIU 
14 %</t>
  </si>
  <si>
    <t>UN MIL QUINIENTOS TREINTA Y SIETE MILLONES OCHOCIENTOS UN MIL TRESCIENTOS OCHENTA Y UN PESOS</t>
  </si>
  <si>
    <r>
      <rPr>
        <b/>
        <sz val="10"/>
        <rFont val="Arial Narrow"/>
        <family val="2"/>
      </rPr>
      <t xml:space="preserve">NOTA 2 DEL EVALUADOR: </t>
    </r>
    <r>
      <rPr>
        <sz val="10"/>
        <rFont val="Arial Narrow"/>
        <family val="2"/>
      </rPr>
      <t xml:space="preserve">Una vez verificada una muestra de la oferta económica, se evidenció que el proponente para los cálculos de los precios unitarios de los insumos de aseo y cafetería entre las vigencias realizó el incremento del 3,66% autorizado por la Entidad en el literal d) del subnumeral (vii) del numeral 5.9.4.1 Propuesta Económica de la adenda No. 03.  </t>
    </r>
  </si>
  <si>
    <r>
      <rPr>
        <b/>
        <sz val="10"/>
        <rFont val="Arial Narrow"/>
        <family val="2"/>
      </rPr>
      <t xml:space="preserve">NOTA 3 DEL EVALUADOR: </t>
    </r>
    <r>
      <rPr>
        <sz val="10"/>
        <rFont val="Arial Narrow"/>
        <family val="2"/>
      </rPr>
      <t>Se deja constancia que la Entidad al momento de validar la propuesta economica de los insumos de aseo y cafeteria  se evidencio un peso (1) de diferencia entre lo indicado por el proponente y la revision realizada de los valores en cada una de las sedes.</t>
    </r>
  </si>
  <si>
    <r>
      <rPr>
        <b/>
        <sz val="9"/>
        <rFont val="Arial Narrow"/>
        <family val="2"/>
      </rPr>
      <t>NOTA 4 DEL EVALUADOR:</t>
    </r>
    <r>
      <rPr>
        <sz val="9"/>
        <rFont val="Arial Narrow"/>
        <family val="2"/>
      </rPr>
      <t xml:space="preserve"> </t>
    </r>
    <r>
      <rPr>
        <sz val="10"/>
        <color theme="1"/>
        <rFont val="Arial Narrow"/>
        <family val="2"/>
      </rPr>
      <t>En lo ofertado por el proponente para el suministro del Alcohol Antiséptico en la ciudad de Bogota, se observó que en el año 2015 lo ofertó sin IVA, pero para las vigencias 2016 y 2017 sí cobraron IVA.</t>
    </r>
  </si>
  <si>
    <r>
      <rPr>
        <b/>
        <sz val="9"/>
        <rFont val="Arial Narrow"/>
        <family val="2"/>
      </rPr>
      <t>NOTA 2 DEL EVALUADOR:</t>
    </r>
    <r>
      <rPr>
        <sz val="9"/>
        <rFont val="Arial Narrow"/>
        <family val="2"/>
      </rPr>
      <t xml:space="preserve"> Se deja constancia que la Entidad al momento de validar la propuesta economica de los Equipos y Elementos Minimos  se evidencio una diferencia total de trescientos veintisiete pesos ($327)  entre lo indicado por el proponente y la revision realizada de los valores en cada una de las sedes y de las vigencias.</t>
    </r>
  </si>
  <si>
    <r>
      <t xml:space="preserve">NOTA 1 DEL EVALUADOR: </t>
    </r>
    <r>
      <rPr>
        <sz val="10"/>
        <rFont val="Arial Narrow"/>
        <family val="2"/>
      </rPr>
      <t xml:space="preserve">Una vez verificada una muestra de la oferta económica, se evidenció que el proponente para los cálculos de los precios unitarios de la lavada de vidrios entre las vigencias realizó el incremento del 3,66% autorizado por la Entidad mediante la adenda No. 03.  </t>
    </r>
  </si>
  <si>
    <r>
      <t xml:space="preserve">NOTA 2 DEL EVALUADOR: </t>
    </r>
    <r>
      <rPr>
        <sz val="10"/>
        <rFont val="Arial Narrow"/>
        <family val="2"/>
      </rPr>
      <t>Se deja constancia que la Entidad al momento de validar la propuesta economica de la Lavada de Vidirios los valores son iguales con los remitidos por el proponente.</t>
    </r>
  </si>
  <si>
    <t>Ley 47 de 1993, Art. 22</t>
  </si>
  <si>
    <t xml:space="preserve">ARTÍCULO 22. Exclusión del impuesto a las ventas. </t>
  </si>
  <si>
    <r>
      <rPr>
        <b/>
        <sz val="9"/>
        <color theme="1"/>
        <rFont val="Arial Narrow"/>
        <family val="2"/>
      </rPr>
      <t xml:space="preserve">NOTA 1 DEL EVALUADOR: </t>
    </r>
    <r>
      <rPr>
        <sz val="9"/>
        <color theme="1"/>
        <rFont val="Arial Narrow"/>
        <family val="2"/>
      </rPr>
      <t xml:space="preserve">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propuesto. 
El proponente en el apartado pertinente relaciona como disposición legal para la exclusión del IVA el artículo 22 de la  Ley 47 de 1993.
Dada la existencia de la Ley 222 de 1995, que indicó el proponente en su propuesta, y para efectos de liquidar el servicio de recurso humano para el punto de atención ubicado en el municipio de Leticia, el ICETEX incluyó una (1) operaria de más en el campo de "Operaria Aseo medio Tiempo Punto de Atención San Andrés ", y disminuyó a 22 operarias en el campo denominado "Operaria Aseo medio Tiempo" ; lo anterior con el fin de verificar las diferencias obtenidas entre lo ofertado por el proponente y lo liquidado conforme a la legislación tributaria colombiana.  </t>
    </r>
  </si>
  <si>
    <r>
      <rPr>
        <b/>
        <sz val="9"/>
        <rFont val="Arial Narrow"/>
        <family val="2"/>
      </rPr>
      <t xml:space="preserve">NOTA 1 DEL EVALUADOR: </t>
    </r>
    <r>
      <rPr>
        <sz val="9"/>
        <rFont val="Arial Narrow"/>
        <family val="2"/>
      </rPr>
      <t xml:space="preserve">El proponente dentro del Anexo No. 17 tuvo en cuenta las disposiciones relacionadas con la exclusión del IVA en el municipio de San Andrés Islas. 
El proponente en el apartado pertinente relaciona como disposición legal para la exclusión del IVA el artículo 22 de la  Ley 47 de 1993.
De acuerdo con la oferta económica en lo relativo al suministro de insumos de aseo y cafetería en el municipio de Leticia, el proponente aplica IVA, lo cual se acepta bajo el entendido de que el proponente realizaría la compra de dichos insumos en lugar diferente al Departamento del Amazonas.  </t>
    </r>
  </si>
  <si>
    <r>
      <t xml:space="preserve">NOTA DEL EVALUADOR: </t>
    </r>
    <r>
      <rPr>
        <sz val="10"/>
        <rFont val="Arial Narrow"/>
        <family val="2"/>
      </rPr>
      <t>Se deja constancia que la Entidad al momento de validar el VALOR PROPUESTA ECONOMICA se evidencia una diferencia de trescientos veintiseis pesos ($326) entre lo indicado por el $1.537.801.055 y lo validado por la entidad $1.537.801.381 lo cual no supera el 1%.</t>
    </r>
  </si>
  <si>
    <r>
      <rPr>
        <b/>
        <sz val="9"/>
        <color theme="1"/>
        <rFont val="Arial Narrow"/>
        <family val="2"/>
      </rPr>
      <t>NOTA 2 DEL EVALUADOR:</t>
    </r>
    <r>
      <rPr>
        <sz val="9"/>
        <color theme="1"/>
        <rFont val="Arial Narrow"/>
        <family val="2"/>
      </rPr>
      <t xml:space="preserve">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aseo a través de una operario de medio tiempo. 
</t>
    </r>
  </si>
  <si>
    <r>
      <rPr>
        <b/>
        <sz val="10"/>
        <color theme="1"/>
        <rFont val="Arial Narrow"/>
        <family val="2"/>
      </rPr>
      <t>NOTA 3 DEL EVALUADOR:</t>
    </r>
    <r>
      <rPr>
        <sz val="10"/>
        <color theme="1"/>
        <rFont val="Arial Narrow"/>
        <family val="2"/>
      </rPr>
      <t xml:space="preserve"> Se deja constancia que la Entidad al momento de validar la propuesta empleó para la formulación de las celdas dos decimales. </t>
    </r>
  </si>
  <si>
    <r>
      <rPr>
        <b/>
        <sz val="10"/>
        <color theme="1"/>
        <rFont val="Arial Narrow"/>
        <family val="2"/>
      </rPr>
      <t xml:space="preserve">NOTA 5 DEL EVALUADOR: </t>
    </r>
    <r>
      <rPr>
        <sz val="10"/>
        <color theme="1"/>
        <rFont val="Arial Narrow"/>
        <family val="2"/>
      </rPr>
      <t xml:space="preserve">Se deja constancia que la Entidad al momento de validar la propuesta empleó para la formulación de las celdas dos decimales. </t>
    </r>
  </si>
  <si>
    <r>
      <rPr>
        <b/>
        <sz val="11"/>
        <color theme="1"/>
        <rFont val="Calibri"/>
        <family val="2"/>
        <scheme val="minor"/>
      </rPr>
      <t xml:space="preserve">NOTA 2 DEL EVALUADOR: </t>
    </r>
    <r>
      <rPr>
        <sz val="11"/>
        <color theme="1"/>
        <rFont val="Calibri"/>
        <family val="2"/>
        <scheme val="minor"/>
      </rPr>
      <t xml:space="preserve">Se deja constancia que la Entidad al momento de validar la propuesta empleó para la formulación de las celdas dos decimales. </t>
    </r>
  </si>
  <si>
    <t>ARCHIPIÉLAGO DE SAN ANDRÉS ISLAS, LETICIA</t>
  </si>
  <si>
    <t>OTRAS CIUDADES (Arauca, Cartagena, Tunja, Manizales, Popayán, Valledupar, Quibdó, Montería, Neiva, Santa Marta, Villavicencio, Pasto, Cúcuta, Armenia, Pereira, San Gil, Sincelejo, Ibague, Riohacha, Yopal, Barrancabermeja, Mocoa)</t>
  </si>
  <si>
    <r>
      <rPr>
        <b/>
        <sz val="9"/>
        <rFont val="Arial Narrow"/>
        <family val="2"/>
      </rPr>
      <t>NOTA 1 DEL EVALUADOR:</t>
    </r>
    <r>
      <rPr>
        <sz val="9"/>
        <rFont val="Arial Narrow"/>
        <family val="2"/>
      </rPr>
      <t xml:space="preserve"> Se evidenció que el proponente para los cálculos de los precios unitarios de los equipos y elementos minimos entre las vigencias realizó el incremento del 3,66% autorizado por la Entidad mediante  la adenda No. 03.  </t>
    </r>
  </si>
  <si>
    <r>
      <rPr>
        <b/>
        <sz val="9"/>
        <rFont val="Arial Narrow"/>
        <family val="2"/>
      </rPr>
      <t xml:space="preserve">NOTA 3 DEL EVALUADOR: </t>
    </r>
    <r>
      <rPr>
        <sz val="9"/>
        <rFont val="Arial Narrow"/>
        <family val="2"/>
      </rPr>
      <t>El proponente en el apartado pertinente relaciona como disposición legal para la exclusión del IVA el artículo 22 de la  Ley 47 de 1993.</t>
    </r>
    <r>
      <rPr>
        <b/>
        <sz val="9"/>
        <rFont val="Arial Narrow"/>
        <family val="2"/>
      </rPr>
      <t xml:space="preserve">
</t>
    </r>
    <r>
      <rPr>
        <sz val="9"/>
        <rFont val="Arial Narrow"/>
        <family val="2"/>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alquiler de equipos y elementos. </t>
    </r>
  </si>
  <si>
    <r>
      <rPr>
        <b/>
        <sz val="9"/>
        <color theme="1"/>
        <rFont val="Arial Narrow"/>
        <family val="2"/>
      </rPr>
      <t xml:space="preserve">NOTA 5 DEL EVALUADOR: </t>
    </r>
    <r>
      <rPr>
        <sz val="9"/>
        <color theme="1"/>
        <rFont val="Arial Narrow"/>
        <family val="2"/>
      </rPr>
      <t xml:space="preserve">Se deja constancia que la Entidad al momento de validar la propuesta empleó para la formulación de las celdas dos decimales. </t>
    </r>
  </si>
  <si>
    <r>
      <rPr>
        <b/>
        <sz val="9"/>
        <color theme="1"/>
        <rFont val="Arial Narrow"/>
        <family val="2"/>
      </rPr>
      <t>NOTA 4 DEL EVALUADOR:</t>
    </r>
    <r>
      <rPr>
        <sz val="9"/>
        <color theme="1"/>
        <rFont val="Arial Narrow"/>
        <family val="2"/>
      </rPr>
      <t xml:space="preserve"> El ICETEX tomó como base los valores ofertados por el proponente para los Equipos y Elementos Mínimos para realizar la liquidación de la propuesta, la cual consta en esta evaluación; No obstante y para la verificación de la Entidad, en el campo de "Archipiélago San Andrés Islas" se incluyeron las cantidades de equipos y elementos mínimos del punto de atención de Leticia, para poder liquidar correctamente el servicio de alquiler a prestar en Leticia.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ALQUILER DE EQUIPOS Y ELEMENTOS.   </t>
    </r>
  </si>
  <si>
    <r>
      <rPr>
        <b/>
        <sz val="9"/>
        <color theme="1"/>
        <rFont val="Arial Narrow"/>
        <family val="2"/>
      </rPr>
      <t>NOTA 1 DEL EVALUADOR</t>
    </r>
    <r>
      <rPr>
        <b/>
        <sz val="11"/>
        <rFont val="Calibri"/>
        <family val="2"/>
        <scheme val="minor"/>
      </rPr>
      <t xml:space="preserve">: </t>
    </r>
    <r>
      <rPr>
        <sz val="11"/>
        <rFont val="Calibri"/>
        <family val="2"/>
        <scheme val="minor"/>
      </rPr>
      <t>El proponente en el apartado pertinente relaciona como disposición legal para la exclusión del IVA el artículo 22 de la  Ley 47 de 1993.</t>
    </r>
    <r>
      <rPr>
        <b/>
        <sz val="11"/>
        <rFont val="Calibri"/>
        <family val="2"/>
        <scheme val="minor"/>
      </rPr>
      <t xml:space="preserve">
</t>
    </r>
    <r>
      <rPr>
        <sz val="11"/>
        <rFont val="Calibri"/>
        <family val="2"/>
        <scheme val="minor"/>
      </rPr>
      <t xml:space="preserve">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sin conocer la Entidad las razones por las cuales lo hizo el proponente, a pesar de los siguientes presupuestos: 
(i). El literal b) del artículo 270 de la Ley 223 de 1995, establece que será excluído del  impuesto sobre las ventas en el Departamento del Amazonas en el caso de "b) La prestación de servicios realizados en él territorio del Departamento del Amazonas."
(ii). El Icetex cuenta con punto de atención en el municipio de Leticia (Amazonas), lugar donde el proponente adjudicatario prestará el SERVICIO de fumigación.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</si>
</sst>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quot;* #,##0.00_);_(&quot;$&quot;* \(#,##0.00\);_(&quot;$&quot;* &quot;-&quot;??_);_(@_)"/>
    <numFmt numFmtId="165" formatCode="_(&quot;$&quot;* #,##0_);_(&quot;$&quot;* \(#,##0\);_(&quot;$&quot;* &quot;-&quot;??_);_(@_)"/>
    <numFmt numFmtId="166" formatCode="_(* #,##0_);_(* \(#,##0\);_(* &quot;-&quot;??_);_(@_)"/>
  </numFmts>
  <fonts count="27"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sz val="10"/>
      <color rgb="FFFF0000"/>
      <name val="Arial Narrow"/>
      <family val="2"/>
    </font>
    <font>
      <b/>
      <sz val="9"/>
      <name val="Arial Narrow"/>
      <family val="2"/>
    </font>
    <font>
      <sz val="9"/>
      <name val="Arial Narrow"/>
      <family val="2"/>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1" fillId="0" borderId="0" applyFont="0" applyFill="0" applyBorder="0" applyAlignment="0" applyProtection="0"/>
  </cellStyleXfs>
  <cellXfs count="187">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5"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5"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0" fillId="0" borderId="13"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3" xfId="0" applyFont="1" applyBorder="1" applyAlignment="1">
      <alignment horizontal="left" vertical="center"/>
    </xf>
    <xf numFmtId="165" fontId="5" fillId="2" borderId="0" xfId="2" applyNumberFormat="1" applyFont="1" applyFill="1" applyBorder="1" applyAlignment="1">
      <alignment horizontal="center" vertical="top"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166" fontId="4" fillId="0" borderId="13" xfId="7" applyNumberFormat="1" applyFont="1" applyBorder="1" applyAlignment="1">
      <alignment horizontal="center" vertical="center" wrapText="1"/>
    </xf>
    <xf numFmtId="166" fontId="4" fillId="0" borderId="13" xfId="7" applyNumberFormat="1" applyFont="1" applyBorder="1" applyAlignment="1">
      <alignment horizontal="justify" vertical="center" wrapText="1"/>
    </xf>
    <xf numFmtId="166" fontId="7" fillId="0" borderId="13" xfId="7" applyNumberFormat="1" applyFont="1" applyBorder="1"/>
    <xf numFmtId="166" fontId="7" fillId="0" borderId="0" xfId="7" applyNumberFormat="1" applyFont="1"/>
    <xf numFmtId="166" fontId="12" fillId="0" borderId="13" xfId="7" applyNumberFormat="1" applyFont="1" applyBorder="1" applyAlignment="1">
      <alignment vertical="center" wrapText="1"/>
    </xf>
    <xf numFmtId="43" fontId="4" fillId="0" borderId="6" xfId="7" applyFont="1" applyBorder="1" applyAlignment="1">
      <alignment horizontal="justify" vertical="center" wrapText="1"/>
    </xf>
    <xf numFmtId="166" fontId="9" fillId="0" borderId="13" xfId="7" applyNumberFormat="1" applyFont="1" applyBorder="1"/>
    <xf numFmtId="166" fontId="4" fillId="0" borderId="6" xfId="0" applyNumberFormat="1" applyFont="1" applyBorder="1" applyAlignment="1">
      <alignment horizontal="justify" vertical="center" wrapText="1"/>
    </xf>
    <xf numFmtId="166" fontId="7" fillId="2" borderId="13" xfId="7" applyNumberFormat="1" applyFont="1" applyFill="1" applyBorder="1" applyAlignment="1">
      <alignment horizontal="center" vertical="center"/>
    </xf>
    <xf numFmtId="166" fontId="9" fillId="0" borderId="13" xfId="7" applyNumberFormat="1" applyFont="1" applyBorder="1" applyAlignment="1">
      <alignment horizontal="center" vertical="center"/>
    </xf>
    <xf numFmtId="166" fontId="7" fillId="2" borderId="0" xfId="0" applyNumberFormat="1" applyFont="1" applyFill="1" applyBorder="1"/>
    <xf numFmtId="166" fontId="15" fillId="4" borderId="13" xfId="7" applyNumberFormat="1" applyFont="1" applyFill="1" applyBorder="1" applyAlignment="1">
      <alignment horizontal="center" vertical="center" wrapText="1"/>
    </xf>
    <xf numFmtId="166" fontId="11" fillId="0" borderId="13" xfId="7" applyNumberFormat="1" applyFont="1" applyBorder="1" applyAlignment="1">
      <alignment horizontal="justify" vertical="center"/>
    </xf>
    <xf numFmtId="166" fontId="10" fillId="0" borderId="13" xfId="7" applyNumberFormat="1" applyFont="1" applyBorder="1" applyAlignment="1">
      <alignment horizontal="justify" vertical="top"/>
    </xf>
    <xf numFmtId="166" fontId="0" fillId="0" borderId="14" xfId="7" applyNumberFormat="1" applyFont="1" applyBorder="1"/>
    <xf numFmtId="166" fontId="0" fillId="0" borderId="0" xfId="7" applyNumberFormat="1" applyFont="1" applyBorder="1"/>
    <xf numFmtId="166" fontId="10" fillId="0" borderId="0" xfId="7" applyNumberFormat="1" applyFont="1" applyBorder="1" applyAlignment="1">
      <alignment horizontal="justify" vertical="center"/>
    </xf>
    <xf numFmtId="166" fontId="0" fillId="0" borderId="13" xfId="7" applyNumberFormat="1" applyFont="1" applyBorder="1" applyAlignment="1">
      <alignment vertical="top"/>
    </xf>
    <xf numFmtId="166" fontId="0" fillId="0" borderId="13" xfId="0" applyNumberFormat="1" applyBorder="1" applyAlignment="1">
      <alignment vertical="top"/>
    </xf>
    <xf numFmtId="166" fontId="17" fillId="0" borderId="13" xfId="7" applyNumberFormat="1" applyFont="1" applyBorder="1" applyAlignment="1">
      <alignment horizontal="center" vertical="center" wrapText="1"/>
    </xf>
    <xf numFmtId="166" fontId="18" fillId="0" borderId="13" xfId="7" applyNumberFormat="1" applyFont="1" applyBorder="1" applyAlignment="1">
      <alignment horizontal="center" vertical="center"/>
    </xf>
    <xf numFmtId="166" fontId="18" fillId="0" borderId="13" xfId="7" applyNumberFormat="1" applyFont="1" applyBorder="1" applyAlignment="1">
      <alignment horizontal="center" vertical="center" wrapText="1"/>
    </xf>
    <xf numFmtId="166" fontId="18" fillId="0" borderId="0" xfId="7" applyNumberFormat="1" applyFont="1" applyBorder="1" applyAlignment="1">
      <alignment horizontal="justify" vertical="center" wrapText="1"/>
    </xf>
    <xf numFmtId="166" fontId="19" fillId="0" borderId="13" xfId="7" applyNumberFormat="1" applyFont="1" applyBorder="1" applyAlignment="1">
      <alignment horizontal="justify" vertical="center" wrapText="1"/>
    </xf>
    <xf numFmtId="166" fontId="18" fillId="0" borderId="13" xfId="7" applyNumberFormat="1" applyFont="1" applyBorder="1" applyAlignment="1">
      <alignment horizontal="justify" vertical="top" wrapText="1"/>
    </xf>
    <xf numFmtId="166" fontId="18" fillId="0" borderId="14" xfId="7" applyNumberFormat="1" applyFont="1" applyBorder="1" applyAlignment="1">
      <alignment horizontal="justify" vertical="center" wrapText="1"/>
    </xf>
    <xf numFmtId="166" fontId="13" fillId="0" borderId="0" xfId="7" applyNumberFormat="1" applyFont="1" applyBorder="1"/>
    <xf numFmtId="166" fontId="19" fillId="0" borderId="0" xfId="7" applyNumberFormat="1" applyFont="1" applyBorder="1" applyAlignment="1">
      <alignment horizontal="justify" vertical="center" wrapText="1"/>
    </xf>
    <xf numFmtId="166" fontId="18" fillId="0" borderId="0" xfId="7" applyNumberFormat="1" applyFont="1" applyBorder="1" applyAlignment="1">
      <alignment horizontal="justify" vertical="top" wrapText="1"/>
    </xf>
    <xf numFmtId="166" fontId="13" fillId="0" borderId="12" xfId="7" applyNumberFormat="1" applyFont="1" applyBorder="1"/>
    <xf numFmtId="166" fontId="13" fillId="0" borderId="0" xfId="0" applyNumberFormat="1" applyFont="1" applyBorder="1"/>
    <xf numFmtId="166" fontId="0" fillId="0" borderId="13" xfId="7" applyNumberFormat="1" applyFont="1" applyBorder="1"/>
    <xf numFmtId="0" fontId="14" fillId="0" borderId="0" xfId="0" applyFont="1" applyAlignment="1">
      <alignment horizontal="left" vertical="center" wrapText="1"/>
    </xf>
    <xf numFmtId="165" fontId="7" fillId="2" borderId="0" xfId="0" applyNumberFormat="1" applyFont="1" applyFill="1" applyBorder="1"/>
    <xf numFmtId="0" fontId="22" fillId="2" borderId="0" xfId="0" applyFont="1" applyFill="1" applyBorder="1" applyAlignment="1">
      <alignment wrapText="1"/>
    </xf>
    <xf numFmtId="166" fontId="0" fillId="0" borderId="13" xfId="0" applyNumberFormat="1" applyBorder="1"/>
    <xf numFmtId="43" fontId="0" fillId="0" borderId="0" xfId="7" applyFont="1"/>
    <xf numFmtId="0" fontId="0" fillId="0" borderId="13" xfId="0" applyBorder="1" applyAlignment="1">
      <alignment horizontal="center" vertical="center" wrapText="1"/>
    </xf>
    <xf numFmtId="0" fontId="12" fillId="0" borderId="13" xfId="0" applyFont="1" applyBorder="1" applyAlignment="1">
      <alignment horizontal="center" vertical="center" wrapText="1"/>
    </xf>
    <xf numFmtId="0" fontId="17" fillId="0" borderId="13" xfId="0" applyFont="1" applyBorder="1" applyAlignment="1">
      <alignment horizontal="center" vertical="center"/>
    </xf>
    <xf numFmtId="0" fontId="20" fillId="0" borderId="0" xfId="0" applyFont="1" applyBorder="1" applyAlignment="1">
      <alignment horizontal="left" vertical="center"/>
    </xf>
    <xf numFmtId="166" fontId="0" fillId="0" borderId="0" xfId="0" applyNumberFormat="1" applyBorder="1"/>
    <xf numFmtId="0" fontId="18" fillId="0" borderId="13" xfId="0" applyFont="1" applyBorder="1" applyAlignment="1">
      <alignment horizontal="justify" vertical="top" wrapText="1"/>
    </xf>
    <xf numFmtId="166" fontId="4" fillId="0" borderId="16" xfId="7" applyNumberFormat="1" applyFont="1" applyBorder="1" applyAlignment="1">
      <alignment horizontal="center" vertical="center" wrapText="1"/>
    </xf>
    <xf numFmtId="166" fontId="4" fillId="0" borderId="10" xfId="7" applyNumberFormat="1" applyFont="1" applyBorder="1" applyAlignment="1">
      <alignment horizontal="center" vertical="center" wrapText="1"/>
    </xf>
    <xf numFmtId="0" fontId="14" fillId="0" borderId="14"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166" fontId="9" fillId="0" borderId="16" xfId="7" applyNumberFormat="1" applyFont="1" applyBorder="1" applyAlignment="1">
      <alignment horizontal="center"/>
    </xf>
    <xf numFmtId="166" fontId="9" fillId="0" borderId="10" xfId="7" applyNumberFormat="1" applyFont="1" applyBorder="1" applyAlignment="1">
      <alignment horizontal="center"/>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165" fontId="5" fillId="3" borderId="13" xfId="2" applyNumberFormat="1" applyFont="1" applyFill="1" applyBorder="1" applyAlignment="1">
      <alignment horizontal="left" vertical="center" wrapText="1"/>
    </xf>
    <xf numFmtId="0" fontId="9" fillId="0" borderId="13" xfId="0" applyFont="1" applyBorder="1" applyAlignment="1">
      <alignment horizontal="center" vertical="center" wrapText="1"/>
    </xf>
    <xf numFmtId="0" fontId="14" fillId="0" borderId="13" xfId="0" applyFont="1" applyBorder="1" applyAlignment="1">
      <alignment horizontal="left" vertical="top" wrapText="1"/>
    </xf>
    <xf numFmtId="0" fontId="4" fillId="0" borderId="13" xfId="0" applyFont="1" applyBorder="1" applyAlignment="1">
      <alignment horizontal="justify" vertical="center" wrapText="1"/>
    </xf>
    <xf numFmtId="0" fontId="8" fillId="0" borderId="13"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3" xfId="0" applyFont="1" applyBorder="1" applyAlignment="1">
      <alignment horizontal="left" vertical="top"/>
    </xf>
    <xf numFmtId="166" fontId="5" fillId="0" borderId="13" xfId="7" applyNumberFormat="1" applyFont="1" applyFill="1" applyBorder="1" applyAlignment="1">
      <alignment horizontal="center" vertical="center" wrapText="1"/>
    </xf>
    <xf numFmtId="166" fontId="5" fillId="0" borderId="16" xfId="7"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7" fillId="2" borderId="13" xfId="0" applyFont="1" applyFill="1" applyBorder="1" applyAlignment="1">
      <alignment horizontal="left" vertical="top"/>
    </xf>
    <xf numFmtId="0" fontId="24" fillId="0" borderId="13" xfId="0" applyFont="1" applyBorder="1" applyAlignment="1">
      <alignment horizontal="left" vertical="center" wrapText="1"/>
    </xf>
    <xf numFmtId="0" fontId="6" fillId="0" borderId="13" xfId="0" applyFont="1" applyBorder="1" applyAlignment="1">
      <alignment horizontal="left" vertical="center" wrapText="1"/>
    </xf>
    <xf numFmtId="43" fontId="0" fillId="0" borderId="0" xfId="7" applyFont="1" applyBorder="1" applyAlignment="1">
      <alignment horizontal="left" vertical="top"/>
    </xf>
    <xf numFmtId="165" fontId="5" fillId="2" borderId="13" xfId="2" applyNumberFormat="1" applyFont="1" applyFill="1" applyBorder="1" applyAlignment="1">
      <alignment horizontal="left" vertical="top" wrapText="1"/>
    </xf>
    <xf numFmtId="166" fontId="0" fillId="0" borderId="14" xfId="0" applyNumberForma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14" fillId="0" borderId="13" xfId="0" applyFont="1" applyBorder="1" applyAlignment="1">
      <alignment horizontal="left" vertical="center" wrapText="1"/>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66" fontId="5" fillId="2" borderId="13" xfId="7" applyNumberFormat="1" applyFont="1" applyFill="1" applyBorder="1" applyAlignment="1">
      <alignment horizontal="center" vertical="top" wrapText="1"/>
    </xf>
    <xf numFmtId="165" fontId="5" fillId="2" borderId="13" xfId="2" applyNumberFormat="1" applyFont="1" applyFill="1" applyBorder="1" applyAlignment="1">
      <alignment horizontal="center" vertical="top" wrapText="1"/>
    </xf>
    <xf numFmtId="166" fontId="5" fillId="2" borderId="0" xfId="7"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5" fontId="5" fillId="2" borderId="14"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165" fontId="5" fillId="2" borderId="12" xfId="2" applyNumberFormat="1" applyFont="1" applyFill="1" applyBorder="1" applyAlignment="1">
      <alignment horizontal="left" vertical="top" wrapText="1"/>
    </xf>
    <xf numFmtId="0" fontId="14" fillId="0" borderId="13" xfId="0" applyFont="1" applyBorder="1" applyAlignment="1">
      <alignment horizontal="left" vertical="top"/>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4" fillId="2" borderId="13" xfId="0" applyFont="1" applyFill="1" applyBorder="1" applyAlignment="1">
      <alignment horizontal="left" vertical="top" wrapText="1"/>
    </xf>
    <xf numFmtId="0" fontId="24" fillId="2" borderId="13" xfId="0" applyFont="1" applyFill="1" applyBorder="1" applyAlignment="1">
      <alignment horizontal="left" vertical="top" wrapText="1"/>
    </xf>
    <xf numFmtId="166" fontId="18" fillId="0" borderId="14" xfId="0" applyNumberFormat="1"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166" fontId="0" fillId="0" borderId="14"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0" fillId="0" borderId="13" xfId="0" applyFont="1" applyBorder="1" applyAlignment="1">
      <alignment horizontal="justify" vertical="center" wrapText="1"/>
    </xf>
    <xf numFmtId="0" fontId="5" fillId="2" borderId="13" xfId="0" applyFont="1" applyFill="1" applyBorder="1" applyAlignment="1">
      <alignment horizontal="left" vertical="top" wrapText="1"/>
    </xf>
    <xf numFmtId="0" fontId="5" fillId="2" borderId="0" xfId="0" applyFont="1" applyFill="1" applyBorder="1" applyAlignment="1">
      <alignment horizontal="left" vertical="center" wrapText="1"/>
    </xf>
    <xf numFmtId="0" fontId="20" fillId="0" borderId="1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topLeftCell="A100" zoomScaleNormal="100" workbookViewId="0">
      <selection activeCell="A104" sqref="A104:H104"/>
    </sheetView>
  </sheetViews>
  <sheetFormatPr baseColWidth="10" defaultRowHeight="12.75" x14ac:dyDescent="0.2"/>
  <cols>
    <col min="1" max="1" width="21.42578125" style="1" customWidth="1"/>
    <col min="2" max="4" width="11.42578125" style="1"/>
    <col min="5" max="7" width="11.42578125" style="61"/>
    <col min="8" max="8" width="19.85546875" style="61" customWidth="1"/>
    <col min="9" max="9" width="11.7109375" style="1" bestFit="1" customWidth="1"/>
    <col min="10" max="16384" width="11.42578125" style="1"/>
  </cols>
  <sheetData>
    <row r="1" spans="1:9" ht="20.25" customHeight="1" x14ac:dyDescent="0.2">
      <c r="A1" s="131" t="s">
        <v>0</v>
      </c>
      <c r="B1" s="132"/>
      <c r="C1" s="132"/>
      <c r="D1" s="124" t="s">
        <v>8</v>
      </c>
      <c r="E1" s="129" t="s">
        <v>191</v>
      </c>
      <c r="F1" s="129" t="s">
        <v>209</v>
      </c>
      <c r="G1" s="129" t="s">
        <v>194</v>
      </c>
      <c r="H1" s="129" t="s">
        <v>190</v>
      </c>
      <c r="I1" s="7"/>
    </row>
    <row r="2" spans="1:9" ht="15.75" customHeight="1" x14ac:dyDescent="0.2">
      <c r="A2" s="133"/>
      <c r="B2" s="134"/>
      <c r="C2" s="134"/>
      <c r="D2" s="125"/>
      <c r="E2" s="130"/>
      <c r="F2" s="130"/>
      <c r="G2" s="130"/>
      <c r="H2" s="130"/>
      <c r="I2" s="7"/>
    </row>
    <row r="3" spans="1:9" x14ac:dyDescent="0.2">
      <c r="A3" s="2"/>
      <c r="B3" s="124" t="s">
        <v>2</v>
      </c>
      <c r="C3" s="124"/>
      <c r="D3" s="124">
        <v>16</v>
      </c>
      <c r="E3" s="58"/>
      <c r="F3" s="59"/>
      <c r="G3" s="59"/>
      <c r="H3" s="58"/>
      <c r="I3" s="8"/>
    </row>
    <row r="4" spans="1:9" ht="13.5" customHeight="1" x14ac:dyDescent="0.2">
      <c r="A4" s="124" t="s">
        <v>7</v>
      </c>
      <c r="B4" s="115" t="s">
        <v>13</v>
      </c>
      <c r="C4" s="115"/>
      <c r="D4" s="124"/>
      <c r="E4" s="59">
        <v>644350</v>
      </c>
      <c r="F4" s="58">
        <f t="shared" ref="F4:F9" si="0">+E4*14/100</f>
        <v>90209</v>
      </c>
      <c r="G4" s="58">
        <f t="shared" ref="G4:G9" si="1">+F4*16/100</f>
        <v>14433.44</v>
      </c>
      <c r="H4" s="58">
        <f>+(E4+F4+G4)*16</f>
        <v>11983879.039999999</v>
      </c>
      <c r="I4" s="9"/>
    </row>
    <row r="5" spans="1:9" x14ac:dyDescent="0.2">
      <c r="A5" s="124"/>
      <c r="B5" s="115" t="s">
        <v>14</v>
      </c>
      <c r="C5" s="115"/>
      <c r="D5" s="124"/>
      <c r="E5" s="59">
        <v>74000</v>
      </c>
      <c r="F5" s="58">
        <f t="shared" si="0"/>
        <v>10360</v>
      </c>
      <c r="G5" s="58">
        <f t="shared" si="1"/>
        <v>1657.6</v>
      </c>
      <c r="H5" s="58">
        <f>+(E5+F5+G5)*16</f>
        <v>1376281.6000000001</v>
      </c>
      <c r="I5" s="9"/>
    </row>
    <row r="6" spans="1:9" x14ac:dyDescent="0.2">
      <c r="A6" s="124"/>
      <c r="B6" s="115" t="s">
        <v>3</v>
      </c>
      <c r="C6" s="115"/>
      <c r="D6" s="124"/>
      <c r="E6" s="59">
        <f>+E4+E5</f>
        <v>718350</v>
      </c>
      <c r="F6" s="58">
        <f t="shared" si="0"/>
        <v>100569</v>
      </c>
      <c r="G6" s="58">
        <f t="shared" si="1"/>
        <v>16091.04</v>
      </c>
      <c r="H6" s="58">
        <f>+H4+H5</f>
        <v>13360160.639999999</v>
      </c>
      <c r="I6" s="63"/>
    </row>
    <row r="7" spans="1:9" x14ac:dyDescent="0.2">
      <c r="A7" s="124"/>
      <c r="B7" s="4" t="s">
        <v>15</v>
      </c>
      <c r="C7" s="5">
        <v>0.12</v>
      </c>
      <c r="D7" s="124"/>
      <c r="E7" s="59">
        <f>+E4*0.12</f>
        <v>77322</v>
      </c>
      <c r="F7" s="58">
        <f t="shared" si="0"/>
        <v>10825.08</v>
      </c>
      <c r="G7" s="58">
        <f t="shared" si="1"/>
        <v>1732.0128</v>
      </c>
      <c r="H7" s="59">
        <f>+(E7+F7+G7)*16</f>
        <v>1438065.4848</v>
      </c>
      <c r="I7" s="10"/>
    </row>
    <row r="8" spans="1:9" x14ac:dyDescent="0.2">
      <c r="A8" s="124"/>
      <c r="B8" s="4" t="s">
        <v>16</v>
      </c>
      <c r="C8" s="5">
        <v>10.44</v>
      </c>
      <c r="D8" s="124"/>
      <c r="E8" s="59">
        <f>+E4*1.044/100</f>
        <v>6727.0140000000001</v>
      </c>
      <c r="F8" s="58">
        <f t="shared" si="0"/>
        <v>941.78195999999991</v>
      </c>
      <c r="G8" s="58">
        <f t="shared" si="1"/>
        <v>150.68511359999999</v>
      </c>
      <c r="H8" s="59">
        <f t="shared" ref="H8:H15" si="2">+(E8+F8+G8)*16</f>
        <v>125111.6971776</v>
      </c>
      <c r="I8" s="10"/>
    </row>
    <row r="9" spans="1:9" ht="25.5" x14ac:dyDescent="0.2">
      <c r="A9" s="124"/>
      <c r="B9" s="4" t="s">
        <v>17</v>
      </c>
      <c r="C9" s="5">
        <v>0.04</v>
      </c>
      <c r="D9" s="124"/>
      <c r="E9" s="59">
        <f>+E4*0.04</f>
        <v>25774</v>
      </c>
      <c r="F9" s="58">
        <f t="shared" si="0"/>
        <v>3608.36</v>
      </c>
      <c r="G9" s="58">
        <f t="shared" si="1"/>
        <v>577.33760000000007</v>
      </c>
      <c r="H9" s="59">
        <f t="shared" si="2"/>
        <v>479355.16159999999</v>
      </c>
      <c r="I9" s="10"/>
    </row>
    <row r="10" spans="1:9" x14ac:dyDescent="0.2">
      <c r="A10" s="124"/>
      <c r="B10" s="4" t="s">
        <v>18</v>
      </c>
      <c r="C10" s="6" t="s">
        <v>4</v>
      </c>
      <c r="D10" s="124"/>
      <c r="E10" s="59">
        <f>+(E4+E5)*8.33/100</f>
        <v>59838.555</v>
      </c>
      <c r="F10" s="58">
        <f t="shared" ref="F10:F15" si="3">+E10*14/100</f>
        <v>8377.3976999999995</v>
      </c>
      <c r="G10" s="58">
        <f t="shared" ref="G10:G15" si="4">+F10*16/100</f>
        <v>1340.383632</v>
      </c>
      <c r="H10" s="59">
        <f t="shared" si="2"/>
        <v>1112901.3813119999</v>
      </c>
      <c r="I10" s="11"/>
    </row>
    <row r="11" spans="1:9" x14ac:dyDescent="0.2">
      <c r="A11" s="124"/>
      <c r="B11" s="4" t="s">
        <v>19</v>
      </c>
      <c r="C11" s="5">
        <v>0.01</v>
      </c>
      <c r="D11" s="124"/>
      <c r="E11" s="59">
        <f>+($E$4+$E$5)*1/100</f>
        <v>7183.5</v>
      </c>
      <c r="F11" s="58">
        <f t="shared" si="3"/>
        <v>1005.69</v>
      </c>
      <c r="G11" s="58">
        <f t="shared" si="4"/>
        <v>160.91040000000001</v>
      </c>
      <c r="H11" s="59">
        <f t="shared" si="2"/>
        <v>133601.60640000002</v>
      </c>
      <c r="I11" s="10"/>
    </row>
    <row r="12" spans="1:9" x14ac:dyDescent="0.2">
      <c r="A12" s="124"/>
      <c r="B12" s="115" t="s">
        <v>20</v>
      </c>
      <c r="C12" s="116" t="s">
        <v>5</v>
      </c>
      <c r="D12" s="124"/>
      <c r="E12" s="101">
        <f>+($E$4+$E$5)*8.33/100</f>
        <v>59838.555</v>
      </c>
      <c r="F12" s="101">
        <f t="shared" si="3"/>
        <v>8377.3976999999995</v>
      </c>
      <c r="G12" s="101">
        <f t="shared" si="4"/>
        <v>1340.383632</v>
      </c>
      <c r="H12" s="101">
        <f t="shared" si="2"/>
        <v>1112901.3813119999</v>
      </c>
      <c r="I12" s="11"/>
    </row>
    <row r="13" spans="1:9" x14ac:dyDescent="0.2">
      <c r="A13" s="124"/>
      <c r="B13" s="115"/>
      <c r="C13" s="116"/>
      <c r="D13" s="124"/>
      <c r="E13" s="102"/>
      <c r="F13" s="102">
        <f t="shared" si="3"/>
        <v>0</v>
      </c>
      <c r="G13" s="102">
        <f t="shared" si="4"/>
        <v>0</v>
      </c>
      <c r="H13" s="102">
        <f t="shared" si="2"/>
        <v>0</v>
      </c>
      <c r="I13" s="11"/>
    </row>
    <row r="14" spans="1:9" x14ac:dyDescent="0.2">
      <c r="A14" s="124"/>
      <c r="B14" s="115" t="s">
        <v>21</v>
      </c>
      <c r="C14" s="116" t="s">
        <v>6</v>
      </c>
      <c r="D14" s="124"/>
      <c r="E14" s="101">
        <f>$E$4*4.17/100</f>
        <v>26869.395</v>
      </c>
      <c r="F14" s="101">
        <f t="shared" si="3"/>
        <v>3761.7153000000003</v>
      </c>
      <c r="G14" s="101">
        <f t="shared" si="4"/>
        <v>601.87444800000003</v>
      </c>
      <c r="H14" s="101">
        <f t="shared" si="2"/>
        <v>499727.75596799998</v>
      </c>
      <c r="I14" s="11"/>
    </row>
    <row r="15" spans="1:9" x14ac:dyDescent="0.2">
      <c r="A15" s="124"/>
      <c r="B15" s="115"/>
      <c r="C15" s="116"/>
      <c r="D15" s="124"/>
      <c r="E15" s="102"/>
      <c r="F15" s="102">
        <f t="shared" si="3"/>
        <v>0</v>
      </c>
      <c r="G15" s="102">
        <f t="shared" si="4"/>
        <v>0</v>
      </c>
      <c r="H15" s="102">
        <f t="shared" si="2"/>
        <v>0</v>
      </c>
      <c r="I15" s="11"/>
    </row>
    <row r="16" spans="1:9" x14ac:dyDescent="0.2">
      <c r="A16" s="124"/>
      <c r="B16" s="117" t="s">
        <v>10</v>
      </c>
      <c r="C16" s="118"/>
      <c r="D16" s="118"/>
      <c r="E16" s="118"/>
      <c r="F16" s="118"/>
      <c r="G16" s="119"/>
      <c r="H16" s="64">
        <f>+H7+H8+H9+H10+H11+H12+H14+H6</f>
        <v>18261825.1085696</v>
      </c>
      <c r="I16" s="9"/>
    </row>
    <row r="17" spans="1:9" x14ac:dyDescent="0.2">
      <c r="A17" s="125" t="s">
        <v>9</v>
      </c>
      <c r="B17" s="115" t="s">
        <v>13</v>
      </c>
      <c r="C17" s="115"/>
      <c r="D17" s="124">
        <v>22</v>
      </c>
      <c r="E17" s="59">
        <f>+E4/2</f>
        <v>322175</v>
      </c>
      <c r="F17" s="58">
        <f>+E17*14/100</f>
        <v>45104.5</v>
      </c>
      <c r="G17" s="58">
        <f>+F17*16/100</f>
        <v>7216.72</v>
      </c>
      <c r="H17" s="58">
        <f>+(E17+F17+G17)*23</f>
        <v>8613413.0599999987</v>
      </c>
      <c r="I17" s="9"/>
    </row>
    <row r="18" spans="1:9" x14ac:dyDescent="0.2">
      <c r="A18" s="126"/>
      <c r="B18" s="115" t="s">
        <v>14</v>
      </c>
      <c r="C18" s="115"/>
      <c r="D18" s="124"/>
      <c r="E18" s="59">
        <v>74000</v>
      </c>
      <c r="F18" s="58">
        <f>+E18*14/100</f>
        <v>10360</v>
      </c>
      <c r="G18" s="58">
        <f>+F18*16/100</f>
        <v>1657.6</v>
      </c>
      <c r="H18" s="58">
        <f>+(E18+F18+G18)*23</f>
        <v>1978404.8</v>
      </c>
      <c r="I18" s="9"/>
    </row>
    <row r="19" spans="1:9" x14ac:dyDescent="0.2">
      <c r="A19" s="126"/>
      <c r="B19" s="115" t="s">
        <v>3</v>
      </c>
      <c r="C19" s="115"/>
      <c r="D19" s="124"/>
      <c r="E19" s="59">
        <f>+E17+E18</f>
        <v>396175</v>
      </c>
      <c r="F19" s="59">
        <f>+F17+F18</f>
        <v>55464.5</v>
      </c>
      <c r="G19" s="59">
        <f>+G17+G18</f>
        <v>8874.32</v>
      </c>
      <c r="H19" s="59">
        <f>+H17+H18</f>
        <v>10591817.859999999</v>
      </c>
      <c r="I19" s="65"/>
    </row>
    <row r="20" spans="1:9" x14ac:dyDescent="0.2">
      <c r="A20" s="126"/>
      <c r="B20" s="4" t="s">
        <v>15</v>
      </c>
      <c r="C20" s="5">
        <v>0.12</v>
      </c>
      <c r="D20" s="124"/>
      <c r="E20" s="59">
        <f>+$E$4*0.12</f>
        <v>77322</v>
      </c>
      <c r="F20" s="58">
        <f>+E20*14/100</f>
        <v>10825.08</v>
      </c>
      <c r="G20" s="58">
        <f>+F20*16/100</f>
        <v>1732.0128</v>
      </c>
      <c r="H20" s="59">
        <f t="shared" ref="H20:H25" si="5">+(E20+F20+G20)*23</f>
        <v>2067219.1343999999</v>
      </c>
      <c r="I20" s="9"/>
    </row>
    <row r="21" spans="1:9" x14ac:dyDescent="0.2">
      <c r="A21" s="126"/>
      <c r="B21" s="4" t="s">
        <v>16</v>
      </c>
      <c r="C21" s="5">
        <v>10.44</v>
      </c>
      <c r="D21" s="124"/>
      <c r="E21" s="59">
        <f>+$E$4*1.044/100</f>
        <v>6727.0140000000001</v>
      </c>
      <c r="F21" s="58">
        <f>+E21*14/100</f>
        <v>941.78195999999991</v>
      </c>
      <c r="G21" s="58">
        <f>+F21*16/100</f>
        <v>150.68511359999999</v>
      </c>
      <c r="H21" s="59">
        <f t="shared" si="5"/>
        <v>179848.06469279999</v>
      </c>
      <c r="I21" s="9"/>
    </row>
    <row r="22" spans="1:9" ht="25.5" x14ac:dyDescent="0.2">
      <c r="A22" s="126"/>
      <c r="B22" s="4" t="s">
        <v>17</v>
      </c>
      <c r="C22" s="5">
        <v>0.04</v>
      </c>
      <c r="D22" s="124"/>
      <c r="E22" s="59">
        <f>+$E$4*0.04</f>
        <v>25774</v>
      </c>
      <c r="F22" s="58">
        <f>+E22*14/100</f>
        <v>3608.36</v>
      </c>
      <c r="G22" s="58">
        <f>+F22*16/100</f>
        <v>577.33760000000007</v>
      </c>
      <c r="H22" s="59">
        <f t="shared" si="5"/>
        <v>689073.04480000003</v>
      </c>
      <c r="I22" s="9"/>
    </row>
    <row r="23" spans="1:9" x14ac:dyDescent="0.2">
      <c r="A23" s="126"/>
      <c r="B23" s="4" t="s">
        <v>18</v>
      </c>
      <c r="C23" s="6" t="s">
        <v>4</v>
      </c>
      <c r="D23" s="124"/>
      <c r="E23" s="59">
        <f>+(E17+E18)*8.33/100</f>
        <v>33001.377500000002</v>
      </c>
      <c r="F23" s="58">
        <f t="shared" ref="F23:F28" si="6">+E23*14/100</f>
        <v>4620.1928500000004</v>
      </c>
      <c r="G23" s="58">
        <f t="shared" ref="G23:G28" si="7">+F23*16/100</f>
        <v>739.23085600000002</v>
      </c>
      <c r="H23" s="59">
        <f t="shared" si="5"/>
        <v>882298.42773800006</v>
      </c>
      <c r="I23" s="9"/>
    </row>
    <row r="24" spans="1:9" x14ac:dyDescent="0.2">
      <c r="A24" s="126"/>
      <c r="B24" s="4" t="s">
        <v>19</v>
      </c>
      <c r="C24" s="5">
        <v>0.01</v>
      </c>
      <c r="D24" s="124"/>
      <c r="E24" s="59">
        <f>+($E$17+$E$18)*1/100</f>
        <v>3961.75</v>
      </c>
      <c r="F24" s="58">
        <f t="shared" si="6"/>
        <v>554.64499999999998</v>
      </c>
      <c r="G24" s="58">
        <f t="shared" si="7"/>
        <v>88.743200000000002</v>
      </c>
      <c r="H24" s="59">
        <f t="shared" si="5"/>
        <v>105918.17860000001</v>
      </c>
      <c r="I24" s="9"/>
    </row>
    <row r="25" spans="1:9" x14ac:dyDescent="0.2">
      <c r="A25" s="126"/>
      <c r="B25" s="115" t="s">
        <v>20</v>
      </c>
      <c r="C25" s="116" t="s">
        <v>5</v>
      </c>
      <c r="D25" s="124"/>
      <c r="E25" s="101">
        <f>+($E$17+$E$18)*8.33/100</f>
        <v>33001.377500000002</v>
      </c>
      <c r="F25" s="101">
        <f t="shared" si="6"/>
        <v>4620.1928500000004</v>
      </c>
      <c r="G25" s="101">
        <f t="shared" si="7"/>
        <v>739.23085600000002</v>
      </c>
      <c r="H25" s="101">
        <f t="shared" si="5"/>
        <v>882298.42773800006</v>
      </c>
      <c r="I25" s="9"/>
    </row>
    <row r="26" spans="1:9" x14ac:dyDescent="0.2">
      <c r="A26" s="126"/>
      <c r="B26" s="115"/>
      <c r="C26" s="116"/>
      <c r="D26" s="124"/>
      <c r="E26" s="102"/>
      <c r="F26" s="102">
        <f t="shared" si="6"/>
        <v>0</v>
      </c>
      <c r="G26" s="102">
        <f t="shared" si="7"/>
        <v>0</v>
      </c>
      <c r="H26" s="102">
        <f>+(E26+F26+G26)*16</f>
        <v>0</v>
      </c>
      <c r="I26" s="9"/>
    </row>
    <row r="27" spans="1:9" x14ac:dyDescent="0.2">
      <c r="A27" s="126"/>
      <c r="B27" s="115" t="s">
        <v>21</v>
      </c>
      <c r="C27" s="116" t="s">
        <v>6</v>
      </c>
      <c r="D27" s="124"/>
      <c r="E27" s="101">
        <f>$E$17*4.17/100</f>
        <v>13434.6975</v>
      </c>
      <c r="F27" s="101">
        <f t="shared" si="6"/>
        <v>1880.8576500000001</v>
      </c>
      <c r="G27" s="101">
        <f t="shared" si="7"/>
        <v>300.93722400000001</v>
      </c>
      <c r="H27" s="101">
        <f>+(E27+F27+G27)*23</f>
        <v>359179.32460200001</v>
      </c>
      <c r="I27" s="9"/>
    </row>
    <row r="28" spans="1:9" x14ac:dyDescent="0.2">
      <c r="A28" s="126"/>
      <c r="B28" s="115"/>
      <c r="C28" s="116"/>
      <c r="D28" s="124"/>
      <c r="E28" s="102"/>
      <c r="F28" s="102">
        <f t="shared" si="6"/>
        <v>0</v>
      </c>
      <c r="G28" s="102">
        <f t="shared" si="7"/>
        <v>0</v>
      </c>
      <c r="H28" s="102">
        <f>+(E28+F28+G28)*16</f>
        <v>0</v>
      </c>
      <c r="I28" s="9"/>
    </row>
    <row r="29" spans="1:9" x14ac:dyDescent="0.2">
      <c r="A29" s="127"/>
      <c r="B29" s="117" t="s">
        <v>3</v>
      </c>
      <c r="C29" s="118"/>
      <c r="D29" s="118"/>
      <c r="E29" s="118"/>
      <c r="F29" s="118"/>
      <c r="G29" s="119"/>
      <c r="H29" s="64">
        <f>+H19+H20+H21+H22+H23+H24+H25+H27</f>
        <v>15757652.4625708</v>
      </c>
      <c r="I29" s="9"/>
    </row>
    <row r="30" spans="1:9" ht="24.75" customHeight="1" x14ac:dyDescent="0.2">
      <c r="A30" s="135" t="s">
        <v>22</v>
      </c>
      <c r="B30" s="115" t="s">
        <v>13</v>
      </c>
      <c r="C30" s="115"/>
      <c r="D30" s="124">
        <v>2</v>
      </c>
      <c r="E30" s="59">
        <f>+E17</f>
        <v>322175</v>
      </c>
      <c r="F30" s="58">
        <f>+E30*14/100</f>
        <v>45104.5</v>
      </c>
      <c r="G30" s="58">
        <v>0</v>
      </c>
      <c r="H30" s="58">
        <f>+(E30+F30+G30)</f>
        <v>367279.5</v>
      </c>
      <c r="I30" s="9"/>
    </row>
    <row r="31" spans="1:9" x14ac:dyDescent="0.2">
      <c r="A31" s="136"/>
      <c r="B31" s="115" t="s">
        <v>14</v>
      </c>
      <c r="C31" s="115"/>
      <c r="D31" s="124"/>
      <c r="E31" s="59">
        <v>74000</v>
      </c>
      <c r="F31" s="58">
        <f>+E31*14/100</f>
        <v>10360</v>
      </c>
      <c r="G31" s="58">
        <v>0</v>
      </c>
      <c r="H31" s="58">
        <f>+(E31+F31+G31)</f>
        <v>84360</v>
      </c>
      <c r="I31" s="9"/>
    </row>
    <row r="32" spans="1:9" ht="24" customHeight="1" x14ac:dyDescent="0.2">
      <c r="A32" s="136"/>
      <c r="B32" s="115" t="s">
        <v>3</v>
      </c>
      <c r="C32" s="115"/>
      <c r="D32" s="124"/>
      <c r="E32" s="59">
        <f>+E30+E31</f>
        <v>396175</v>
      </c>
      <c r="F32" s="59">
        <f>+F30+F31</f>
        <v>55464.5</v>
      </c>
      <c r="G32" s="58">
        <v>0</v>
      </c>
      <c r="H32" s="59">
        <f>+H30+H31</f>
        <v>451639.5</v>
      </c>
      <c r="I32" s="9"/>
    </row>
    <row r="33" spans="1:9" x14ac:dyDescent="0.2">
      <c r="A33" s="136"/>
      <c r="B33" s="4" t="s">
        <v>15</v>
      </c>
      <c r="C33" s="5">
        <v>0.12</v>
      </c>
      <c r="D33" s="124"/>
      <c r="E33" s="59">
        <f>+$E$4*0.12</f>
        <v>77322</v>
      </c>
      <c r="F33" s="58">
        <f>+E33*14/100</f>
        <v>10825.08</v>
      </c>
      <c r="G33" s="58">
        <v>0</v>
      </c>
      <c r="H33" s="59">
        <f t="shared" ref="H33:H38" si="8">+(E33+F33+G33)</f>
        <v>88147.08</v>
      </c>
      <c r="I33" s="9"/>
    </row>
    <row r="34" spans="1:9" x14ac:dyDescent="0.2">
      <c r="A34" s="136"/>
      <c r="B34" s="4" t="s">
        <v>16</v>
      </c>
      <c r="C34" s="5">
        <v>10.44</v>
      </c>
      <c r="D34" s="124"/>
      <c r="E34" s="59">
        <f>+$E$4*1.044/100</f>
        <v>6727.0140000000001</v>
      </c>
      <c r="F34" s="58">
        <f>+E34*14/100</f>
        <v>941.78195999999991</v>
      </c>
      <c r="G34" s="58">
        <v>0</v>
      </c>
      <c r="H34" s="59">
        <f t="shared" si="8"/>
        <v>7668.7959600000004</v>
      </c>
      <c r="I34" s="12"/>
    </row>
    <row r="35" spans="1:9" ht="24" customHeight="1" x14ac:dyDescent="0.2">
      <c r="A35" s="136"/>
      <c r="B35" s="4" t="s">
        <v>17</v>
      </c>
      <c r="C35" s="5">
        <v>0.04</v>
      </c>
      <c r="D35" s="124"/>
      <c r="E35" s="59">
        <f>+$E$4*0.04</f>
        <v>25774</v>
      </c>
      <c r="F35" s="58">
        <f>+E35*14/100</f>
        <v>3608.36</v>
      </c>
      <c r="G35" s="58">
        <v>0</v>
      </c>
      <c r="H35" s="59">
        <f t="shared" si="8"/>
        <v>29382.36</v>
      </c>
      <c r="I35" s="9"/>
    </row>
    <row r="36" spans="1:9" x14ac:dyDescent="0.2">
      <c r="A36" s="136"/>
      <c r="B36" s="4" t="s">
        <v>18</v>
      </c>
      <c r="C36" s="6" t="s">
        <v>4</v>
      </c>
      <c r="D36" s="124"/>
      <c r="E36" s="59">
        <f>+(E30+E31)*8.33/100</f>
        <v>33001.377500000002</v>
      </c>
      <c r="F36" s="58">
        <f t="shared" ref="F36:F41" si="9">+E36*14/100</f>
        <v>4620.1928500000004</v>
      </c>
      <c r="G36" s="58">
        <v>0</v>
      </c>
      <c r="H36" s="59">
        <f t="shared" si="8"/>
        <v>37621.570350000002</v>
      </c>
      <c r="I36" s="8"/>
    </row>
    <row r="37" spans="1:9" ht="24" customHeight="1" x14ac:dyDescent="0.2">
      <c r="A37" s="136"/>
      <c r="B37" s="4" t="s">
        <v>19</v>
      </c>
      <c r="C37" s="5">
        <v>0.01</v>
      </c>
      <c r="D37" s="124"/>
      <c r="E37" s="59">
        <f>+($E$17+$E$18)*1/100</f>
        <v>3961.75</v>
      </c>
      <c r="F37" s="58">
        <f t="shared" si="9"/>
        <v>554.64499999999998</v>
      </c>
      <c r="G37" s="58">
        <v>0</v>
      </c>
      <c r="H37" s="59">
        <f t="shared" si="8"/>
        <v>4516.3950000000004</v>
      </c>
      <c r="I37" s="8"/>
    </row>
    <row r="38" spans="1:9" x14ac:dyDescent="0.2">
      <c r="A38" s="136"/>
      <c r="B38" s="115" t="s">
        <v>20</v>
      </c>
      <c r="C38" s="116" t="s">
        <v>5</v>
      </c>
      <c r="D38" s="124"/>
      <c r="E38" s="101">
        <f>+($E$17+$E$18)*8.33/100</f>
        <v>33001.377500000002</v>
      </c>
      <c r="F38" s="101">
        <f t="shared" si="9"/>
        <v>4620.1928500000004</v>
      </c>
      <c r="G38" s="58">
        <v>0</v>
      </c>
      <c r="H38" s="101">
        <f t="shared" si="8"/>
        <v>37621.570350000002</v>
      </c>
      <c r="I38" s="13"/>
    </row>
    <row r="39" spans="1:9" x14ac:dyDescent="0.2">
      <c r="A39" s="136"/>
      <c r="B39" s="115"/>
      <c r="C39" s="116"/>
      <c r="D39" s="124"/>
      <c r="E39" s="102"/>
      <c r="F39" s="102">
        <f t="shared" si="9"/>
        <v>0</v>
      </c>
      <c r="G39" s="58">
        <v>0</v>
      </c>
      <c r="H39" s="102">
        <f>+(E39+F39+G39)*16</f>
        <v>0</v>
      </c>
      <c r="I39" s="13"/>
    </row>
    <row r="40" spans="1:9" x14ac:dyDescent="0.2">
      <c r="A40" s="136"/>
      <c r="B40" s="115" t="s">
        <v>21</v>
      </c>
      <c r="C40" s="116" t="s">
        <v>6</v>
      </c>
      <c r="D40" s="124"/>
      <c r="E40" s="101">
        <f>$E$30*4.17/100</f>
        <v>13434.6975</v>
      </c>
      <c r="F40" s="101">
        <f t="shared" si="9"/>
        <v>1880.8576500000001</v>
      </c>
      <c r="G40" s="58">
        <v>0</v>
      </c>
      <c r="H40" s="101">
        <f>+(E40+F40+G40)</f>
        <v>15315.55515</v>
      </c>
      <c r="I40" s="13"/>
    </row>
    <row r="41" spans="1:9" x14ac:dyDescent="0.2">
      <c r="A41" s="136"/>
      <c r="B41" s="115"/>
      <c r="C41" s="116"/>
      <c r="D41" s="124"/>
      <c r="E41" s="102"/>
      <c r="F41" s="102">
        <f t="shared" si="9"/>
        <v>0</v>
      </c>
      <c r="G41" s="58">
        <v>0</v>
      </c>
      <c r="H41" s="102">
        <f>+(E41+F41+G41)*16</f>
        <v>0</v>
      </c>
      <c r="I41" s="13"/>
    </row>
    <row r="42" spans="1:9" ht="18" customHeight="1" x14ac:dyDescent="0.2">
      <c r="A42" s="137"/>
      <c r="B42" s="117" t="s">
        <v>3</v>
      </c>
      <c r="C42" s="118"/>
      <c r="D42" s="118"/>
      <c r="E42" s="118"/>
      <c r="F42" s="118"/>
      <c r="G42" s="119"/>
      <c r="H42" s="64">
        <f>+H32+H33+H34+H35+H36+H37+H38+H40</f>
        <v>671912.82681000012</v>
      </c>
      <c r="I42" s="13"/>
    </row>
    <row r="43" spans="1:9" x14ac:dyDescent="0.2">
      <c r="A43" s="123" t="s">
        <v>1</v>
      </c>
      <c r="B43" s="115" t="s">
        <v>13</v>
      </c>
      <c r="C43" s="115"/>
      <c r="D43" s="120">
        <v>1</v>
      </c>
      <c r="E43" s="64">
        <v>800000</v>
      </c>
      <c r="F43" s="64">
        <f>+E43*0.14</f>
        <v>112000.00000000001</v>
      </c>
      <c r="G43" s="64">
        <f>+F43*0.16</f>
        <v>17920.000000000004</v>
      </c>
      <c r="H43" s="64">
        <f>+E43+F43+G43</f>
        <v>929920</v>
      </c>
      <c r="I43" s="13"/>
    </row>
    <row r="44" spans="1:9" x14ac:dyDescent="0.2">
      <c r="A44" s="123"/>
      <c r="B44" s="115" t="s">
        <v>14</v>
      </c>
      <c r="C44" s="115"/>
      <c r="D44" s="121"/>
      <c r="E44" s="64">
        <v>74000</v>
      </c>
      <c r="F44" s="64">
        <f>+E44*0.14</f>
        <v>10360.000000000002</v>
      </c>
      <c r="G44" s="64">
        <f>+F44*0.16</f>
        <v>1657.6000000000004</v>
      </c>
      <c r="H44" s="64">
        <f>+E44+F44+G44</f>
        <v>86017.600000000006</v>
      </c>
      <c r="I44" s="13"/>
    </row>
    <row r="45" spans="1:9" x14ac:dyDescent="0.2">
      <c r="A45" s="123"/>
      <c r="B45" s="115" t="s">
        <v>3</v>
      </c>
      <c r="C45" s="115"/>
      <c r="D45" s="121"/>
      <c r="E45" s="64">
        <f>+E43+E44</f>
        <v>874000</v>
      </c>
      <c r="F45" s="64">
        <f>+F43+F44</f>
        <v>122360.00000000001</v>
      </c>
      <c r="G45" s="64">
        <f>+G43+G44</f>
        <v>19577.600000000006</v>
      </c>
      <c r="H45" s="64">
        <f>+H43+H44</f>
        <v>1015937.6</v>
      </c>
      <c r="I45" s="13"/>
    </row>
    <row r="46" spans="1:9" x14ac:dyDescent="0.2">
      <c r="A46" s="123"/>
      <c r="B46" s="4" t="s">
        <v>15</v>
      </c>
      <c r="C46" s="5">
        <v>0.12</v>
      </c>
      <c r="D46" s="121"/>
      <c r="E46" s="59">
        <f>+E43*0.12</f>
        <v>96000</v>
      </c>
      <c r="F46" s="58">
        <f t="shared" ref="F46:F53" si="10">+E46*14/100</f>
        <v>13440</v>
      </c>
      <c r="G46" s="64">
        <f t="shared" ref="G46:G53" si="11">+F46*0.16</f>
        <v>2150.4</v>
      </c>
      <c r="H46" s="64">
        <f t="shared" ref="H46:H53" si="12">+E46+F46+G46</f>
        <v>111590.39999999999</v>
      </c>
      <c r="I46" s="13"/>
    </row>
    <row r="47" spans="1:9" x14ac:dyDescent="0.2">
      <c r="A47" s="123"/>
      <c r="B47" s="4" t="s">
        <v>16</v>
      </c>
      <c r="C47" s="5">
        <v>10.44</v>
      </c>
      <c r="D47" s="121"/>
      <c r="E47" s="59">
        <f>+E43*1.044/100</f>
        <v>8352</v>
      </c>
      <c r="F47" s="58">
        <f t="shared" si="10"/>
        <v>1169.28</v>
      </c>
      <c r="G47" s="64">
        <f t="shared" si="11"/>
        <v>187.0848</v>
      </c>
      <c r="H47" s="64">
        <f t="shared" si="12"/>
        <v>9708.3648000000012</v>
      </c>
      <c r="I47" s="13"/>
    </row>
    <row r="48" spans="1:9" ht="24" customHeight="1" x14ac:dyDescent="0.2">
      <c r="A48" s="123"/>
      <c r="B48" s="4" t="s">
        <v>17</v>
      </c>
      <c r="C48" s="5">
        <v>0.04</v>
      </c>
      <c r="D48" s="121"/>
      <c r="E48" s="59">
        <f>+E43*0.04</f>
        <v>32000</v>
      </c>
      <c r="F48" s="58">
        <f t="shared" si="10"/>
        <v>4480</v>
      </c>
      <c r="G48" s="64">
        <f t="shared" si="11"/>
        <v>716.80000000000007</v>
      </c>
      <c r="H48" s="64">
        <f t="shared" si="12"/>
        <v>37196.800000000003</v>
      </c>
      <c r="I48" s="13"/>
    </row>
    <row r="49" spans="1:9" x14ac:dyDescent="0.2">
      <c r="A49" s="123"/>
      <c r="B49" s="4" t="s">
        <v>18</v>
      </c>
      <c r="C49" s="6" t="s">
        <v>4</v>
      </c>
      <c r="D49" s="121"/>
      <c r="E49" s="64">
        <f>+($E$43+$E$44)*8.33/100</f>
        <v>72804.2</v>
      </c>
      <c r="F49" s="58">
        <f t="shared" si="10"/>
        <v>10192.588</v>
      </c>
      <c r="G49" s="64">
        <f t="shared" si="11"/>
        <v>1630.8140800000001</v>
      </c>
      <c r="H49" s="64">
        <f t="shared" si="12"/>
        <v>84627.602079999997</v>
      </c>
      <c r="I49" s="13"/>
    </row>
    <row r="50" spans="1:9" x14ac:dyDescent="0.2">
      <c r="A50" s="123"/>
      <c r="B50" s="4" t="s">
        <v>19</v>
      </c>
      <c r="C50" s="5">
        <v>0.01</v>
      </c>
      <c r="D50" s="121"/>
      <c r="E50" s="64">
        <f>+($E$43+$E$44)*1/100</f>
        <v>8740</v>
      </c>
      <c r="F50" s="58">
        <f t="shared" si="10"/>
        <v>1223.5999999999999</v>
      </c>
      <c r="G50" s="64">
        <f t="shared" si="11"/>
        <v>195.77599999999998</v>
      </c>
      <c r="H50" s="64">
        <f t="shared" si="12"/>
        <v>10159.376</v>
      </c>
      <c r="I50" s="13"/>
    </row>
    <row r="51" spans="1:9" x14ac:dyDescent="0.2">
      <c r="A51" s="123"/>
      <c r="B51" s="115" t="s">
        <v>20</v>
      </c>
      <c r="C51" s="116" t="s">
        <v>5</v>
      </c>
      <c r="D51" s="121"/>
      <c r="E51" s="106">
        <f>+(E43+E44)*8.33/100</f>
        <v>72804.2</v>
      </c>
      <c r="F51" s="106">
        <f t="shared" si="10"/>
        <v>10192.588</v>
      </c>
      <c r="G51" s="106">
        <f t="shared" si="11"/>
        <v>1630.8140800000001</v>
      </c>
      <c r="H51" s="106">
        <f t="shared" si="12"/>
        <v>84627.602079999997</v>
      </c>
      <c r="I51" s="13"/>
    </row>
    <row r="52" spans="1:9" x14ac:dyDescent="0.2">
      <c r="A52" s="123"/>
      <c r="B52" s="115"/>
      <c r="C52" s="116"/>
      <c r="D52" s="121"/>
      <c r="E52" s="107"/>
      <c r="F52" s="107">
        <f t="shared" si="10"/>
        <v>0</v>
      </c>
      <c r="G52" s="107"/>
      <c r="H52" s="107">
        <f t="shared" si="12"/>
        <v>0</v>
      </c>
      <c r="I52" s="13"/>
    </row>
    <row r="53" spans="1:9" ht="30.75" customHeight="1" x14ac:dyDescent="0.2">
      <c r="A53" s="123"/>
      <c r="B53" s="3" t="s">
        <v>21</v>
      </c>
      <c r="C53" s="6" t="s">
        <v>6</v>
      </c>
      <c r="D53" s="121"/>
      <c r="E53" s="64">
        <f>+E43*4.17/100</f>
        <v>33360</v>
      </c>
      <c r="F53" s="58">
        <f t="shared" si="10"/>
        <v>4670.3999999999996</v>
      </c>
      <c r="G53" s="64">
        <f t="shared" si="11"/>
        <v>747.26400000000001</v>
      </c>
      <c r="H53" s="64">
        <f t="shared" si="12"/>
        <v>38777.664000000004</v>
      </c>
      <c r="I53" s="13"/>
    </row>
    <row r="54" spans="1:9" x14ac:dyDescent="0.2">
      <c r="A54" s="123"/>
      <c r="B54" s="117" t="s">
        <v>10</v>
      </c>
      <c r="C54" s="118"/>
      <c r="D54" s="118"/>
      <c r="E54" s="118"/>
      <c r="F54" s="118"/>
      <c r="G54" s="119"/>
      <c r="H54" s="64">
        <f>+H45+H46+H47+H48+H49+H50+H51+H52+H53</f>
        <v>1392625.4089600004</v>
      </c>
      <c r="I54" s="13"/>
    </row>
    <row r="55" spans="1:9" ht="16.5" customHeight="1" x14ac:dyDescent="0.2">
      <c r="A55" s="113" t="s">
        <v>11</v>
      </c>
      <c r="B55" s="115" t="s">
        <v>13</v>
      </c>
      <c r="C55" s="115"/>
      <c r="D55" s="120">
        <v>1</v>
      </c>
      <c r="E55" s="64">
        <v>752000</v>
      </c>
      <c r="F55" s="64">
        <f>+E55*0.14</f>
        <v>105280.00000000001</v>
      </c>
      <c r="G55" s="64">
        <f>+F55*0.16</f>
        <v>16844.800000000003</v>
      </c>
      <c r="H55" s="64">
        <f>+E55+F55+G55</f>
        <v>874124.80000000005</v>
      </c>
      <c r="I55" s="13"/>
    </row>
    <row r="56" spans="1:9" x14ac:dyDescent="0.2">
      <c r="A56" s="113"/>
      <c r="B56" s="115" t="s">
        <v>14</v>
      </c>
      <c r="C56" s="115"/>
      <c r="D56" s="121"/>
      <c r="E56" s="64">
        <v>74000</v>
      </c>
      <c r="F56" s="64">
        <f>+E56*0.14</f>
        <v>10360.000000000002</v>
      </c>
      <c r="G56" s="64">
        <f>+F56*0.16</f>
        <v>1657.6000000000004</v>
      </c>
      <c r="H56" s="64">
        <f>+E56+F56+G56</f>
        <v>86017.600000000006</v>
      </c>
      <c r="I56" s="13"/>
    </row>
    <row r="57" spans="1:9" ht="15" customHeight="1" x14ac:dyDescent="0.2">
      <c r="A57" s="113"/>
      <c r="B57" s="115" t="s">
        <v>3</v>
      </c>
      <c r="C57" s="115"/>
      <c r="D57" s="121"/>
      <c r="E57" s="64">
        <f>+E55+E56</f>
        <v>826000</v>
      </c>
      <c r="F57" s="64">
        <f>+F55+F56</f>
        <v>115640.00000000001</v>
      </c>
      <c r="G57" s="64">
        <f>+G55+G56</f>
        <v>18502.400000000001</v>
      </c>
      <c r="H57" s="64">
        <f>+H55+H56</f>
        <v>960142.4</v>
      </c>
      <c r="I57" s="13"/>
    </row>
    <row r="58" spans="1:9" x14ac:dyDescent="0.2">
      <c r="A58" s="113"/>
      <c r="B58" s="4" t="s">
        <v>15</v>
      </c>
      <c r="C58" s="5">
        <v>0.12</v>
      </c>
      <c r="D58" s="121"/>
      <c r="E58" s="59">
        <f>+E55*0.12</f>
        <v>90240</v>
      </c>
      <c r="F58" s="58">
        <f t="shared" ref="F58:F65" si="13">+E58*14/100</f>
        <v>12633.6</v>
      </c>
      <c r="G58" s="64">
        <f t="shared" ref="G58:G65" si="14">+F58*0.16</f>
        <v>2021.3760000000002</v>
      </c>
      <c r="H58" s="64">
        <f t="shared" ref="H58:H65" si="15">+E58+F58+G58</f>
        <v>104894.97600000001</v>
      </c>
      <c r="I58" s="13"/>
    </row>
    <row r="59" spans="1:9" x14ac:dyDescent="0.2">
      <c r="A59" s="113"/>
      <c r="B59" s="4" t="s">
        <v>16</v>
      </c>
      <c r="C59" s="5">
        <v>10.44</v>
      </c>
      <c r="D59" s="121"/>
      <c r="E59" s="59">
        <f>+E55*1.044/100</f>
        <v>7850.88</v>
      </c>
      <c r="F59" s="58">
        <f t="shared" si="13"/>
        <v>1099.1232</v>
      </c>
      <c r="G59" s="64">
        <f t="shared" si="14"/>
        <v>175.859712</v>
      </c>
      <c r="H59" s="64">
        <f t="shared" si="15"/>
        <v>9125.8629119999987</v>
      </c>
      <c r="I59" s="13"/>
    </row>
    <row r="60" spans="1:9" ht="25.5" x14ac:dyDescent="0.2">
      <c r="A60" s="113"/>
      <c r="B60" s="4" t="s">
        <v>17</v>
      </c>
      <c r="C60" s="5">
        <v>0.04</v>
      </c>
      <c r="D60" s="121"/>
      <c r="E60" s="59">
        <f>+E55*0.04</f>
        <v>30080</v>
      </c>
      <c r="F60" s="58">
        <f t="shared" si="13"/>
        <v>4211.2</v>
      </c>
      <c r="G60" s="64">
        <f t="shared" si="14"/>
        <v>673.79200000000003</v>
      </c>
      <c r="H60" s="64">
        <f t="shared" si="15"/>
        <v>34964.991999999998</v>
      </c>
      <c r="I60" s="13"/>
    </row>
    <row r="61" spans="1:9" x14ac:dyDescent="0.2">
      <c r="A61" s="113"/>
      <c r="B61" s="4" t="s">
        <v>18</v>
      </c>
      <c r="C61" s="6" t="s">
        <v>4</v>
      </c>
      <c r="D61" s="121"/>
      <c r="E61" s="64">
        <f>+($E$55+$E$56)*8.33/100</f>
        <v>68805.8</v>
      </c>
      <c r="F61" s="58">
        <f t="shared" si="13"/>
        <v>9632.8119999999999</v>
      </c>
      <c r="G61" s="64">
        <f t="shared" si="14"/>
        <v>1541.24992</v>
      </c>
      <c r="H61" s="64">
        <f t="shared" si="15"/>
        <v>79979.86192000001</v>
      </c>
      <c r="I61" s="13"/>
    </row>
    <row r="62" spans="1:9" ht="30" customHeight="1" x14ac:dyDescent="0.2">
      <c r="A62" s="113"/>
      <c r="B62" s="4" t="s">
        <v>19</v>
      </c>
      <c r="C62" s="5">
        <v>0.01</v>
      </c>
      <c r="D62" s="121"/>
      <c r="E62" s="64">
        <f>+($E$55+$E$56)*1/100</f>
        <v>8260</v>
      </c>
      <c r="F62" s="58">
        <f t="shared" si="13"/>
        <v>1156.4000000000001</v>
      </c>
      <c r="G62" s="64">
        <f t="shared" si="14"/>
        <v>185.02400000000003</v>
      </c>
      <c r="H62" s="64">
        <f t="shared" si="15"/>
        <v>9601.4239999999991</v>
      </c>
      <c r="I62" s="13"/>
    </row>
    <row r="63" spans="1:9" x14ac:dyDescent="0.2">
      <c r="A63" s="113"/>
      <c r="B63" s="115" t="s">
        <v>20</v>
      </c>
      <c r="C63" s="116" t="s">
        <v>5</v>
      </c>
      <c r="D63" s="121"/>
      <c r="E63" s="106">
        <f>+(E55+E56)*8.33/100</f>
        <v>68805.8</v>
      </c>
      <c r="F63" s="106">
        <f t="shared" si="13"/>
        <v>9632.8119999999999</v>
      </c>
      <c r="G63" s="106">
        <f t="shared" si="14"/>
        <v>1541.24992</v>
      </c>
      <c r="H63" s="106">
        <f t="shared" si="15"/>
        <v>79979.86192000001</v>
      </c>
      <c r="I63" s="13"/>
    </row>
    <row r="64" spans="1:9" x14ac:dyDescent="0.2">
      <c r="A64" s="113"/>
      <c r="B64" s="115"/>
      <c r="C64" s="116"/>
      <c r="D64" s="121"/>
      <c r="E64" s="107"/>
      <c r="F64" s="107">
        <f t="shared" si="13"/>
        <v>0</v>
      </c>
      <c r="G64" s="107"/>
      <c r="H64" s="107">
        <f t="shared" si="15"/>
        <v>0</v>
      </c>
      <c r="I64" s="13"/>
    </row>
    <row r="65" spans="1:9" x14ac:dyDescent="0.2">
      <c r="A65" s="113"/>
      <c r="B65" s="115" t="s">
        <v>21</v>
      </c>
      <c r="C65" s="116" t="s">
        <v>6</v>
      </c>
      <c r="D65" s="121"/>
      <c r="E65" s="106">
        <f>+E55*4.17/100</f>
        <v>31358.400000000001</v>
      </c>
      <c r="F65" s="106">
        <f t="shared" si="13"/>
        <v>4390.1760000000004</v>
      </c>
      <c r="G65" s="106">
        <f t="shared" si="14"/>
        <v>702.42816000000005</v>
      </c>
      <c r="H65" s="106">
        <f t="shared" si="15"/>
        <v>36451.004160000004</v>
      </c>
      <c r="I65" s="13"/>
    </row>
    <row r="66" spans="1:9" x14ac:dyDescent="0.2">
      <c r="A66" s="113"/>
      <c r="B66" s="115"/>
      <c r="C66" s="116"/>
      <c r="D66" s="122"/>
      <c r="E66" s="107"/>
      <c r="F66" s="107"/>
      <c r="G66" s="107"/>
      <c r="H66" s="107"/>
      <c r="I66" s="13"/>
    </row>
    <row r="67" spans="1:9" x14ac:dyDescent="0.2">
      <c r="A67" s="113"/>
      <c r="B67" s="117" t="s">
        <v>10</v>
      </c>
      <c r="C67" s="118"/>
      <c r="D67" s="118"/>
      <c r="E67" s="118"/>
      <c r="F67" s="118"/>
      <c r="G67" s="119"/>
      <c r="H67" s="64">
        <f>+H65+H63+H62+H61+H60+H59+H58+H57</f>
        <v>1315140.3829120002</v>
      </c>
      <c r="I67" s="13"/>
    </row>
    <row r="68" spans="1:9" x14ac:dyDescent="0.2">
      <c r="A68" s="113" t="s">
        <v>12</v>
      </c>
      <c r="B68" s="115" t="s">
        <v>13</v>
      </c>
      <c r="C68" s="115"/>
      <c r="D68" s="120">
        <v>1</v>
      </c>
      <c r="E68" s="64">
        <v>644350</v>
      </c>
      <c r="F68" s="64">
        <f>+E68*0.14</f>
        <v>90209.000000000015</v>
      </c>
      <c r="G68" s="64">
        <f>+F68*0.16</f>
        <v>14433.440000000002</v>
      </c>
      <c r="H68" s="64">
        <f>+E68+F68+G68</f>
        <v>748992.44</v>
      </c>
      <c r="I68" s="13"/>
    </row>
    <row r="69" spans="1:9" x14ac:dyDescent="0.2">
      <c r="A69" s="113"/>
      <c r="B69" s="115" t="s">
        <v>14</v>
      </c>
      <c r="C69" s="115"/>
      <c r="D69" s="121"/>
      <c r="E69" s="64">
        <v>74000</v>
      </c>
      <c r="F69" s="64">
        <f>+E69*0.14</f>
        <v>10360.000000000002</v>
      </c>
      <c r="G69" s="64">
        <f>+F69*0.16</f>
        <v>1657.6000000000004</v>
      </c>
      <c r="H69" s="64">
        <f>+E69+F69+G69</f>
        <v>86017.600000000006</v>
      </c>
      <c r="I69" s="13"/>
    </row>
    <row r="70" spans="1:9" x14ac:dyDescent="0.2">
      <c r="A70" s="113"/>
      <c r="B70" s="115" t="s">
        <v>3</v>
      </c>
      <c r="C70" s="115"/>
      <c r="D70" s="121"/>
      <c r="E70" s="64">
        <f>+E68+E69</f>
        <v>718350</v>
      </c>
      <c r="F70" s="64">
        <f>+F68+F69</f>
        <v>100569.00000000001</v>
      </c>
      <c r="G70" s="64">
        <f>+G68+G69</f>
        <v>16091.040000000003</v>
      </c>
      <c r="H70" s="64">
        <f>+H68+H69</f>
        <v>835010.03999999992</v>
      </c>
      <c r="I70" s="13"/>
    </row>
    <row r="71" spans="1:9" x14ac:dyDescent="0.2">
      <c r="A71" s="113"/>
      <c r="B71" s="4" t="s">
        <v>15</v>
      </c>
      <c r="C71" s="5">
        <v>0.12</v>
      </c>
      <c r="D71" s="121"/>
      <c r="E71" s="59">
        <f>+E68*0.12</f>
        <v>77322</v>
      </c>
      <c r="F71" s="58">
        <f t="shared" ref="F71:F78" si="16">+E71*14/100</f>
        <v>10825.08</v>
      </c>
      <c r="G71" s="64">
        <f t="shared" ref="G71:G78" si="17">+F71*0.16</f>
        <v>1732.0128</v>
      </c>
      <c r="H71" s="64">
        <f t="shared" ref="H71:H78" si="18">+E71+F71+G71</f>
        <v>89879.092799999999</v>
      </c>
      <c r="I71" s="13"/>
    </row>
    <row r="72" spans="1:9" x14ac:dyDescent="0.2">
      <c r="A72" s="113"/>
      <c r="B72" s="4" t="s">
        <v>16</v>
      </c>
      <c r="C72" s="5">
        <v>10.44</v>
      </c>
      <c r="D72" s="121"/>
      <c r="E72" s="59">
        <f>+E68*1.044/100</f>
        <v>6727.0140000000001</v>
      </c>
      <c r="F72" s="58">
        <f t="shared" si="16"/>
        <v>941.78195999999991</v>
      </c>
      <c r="G72" s="64">
        <f t="shared" si="17"/>
        <v>150.68511359999999</v>
      </c>
      <c r="H72" s="64">
        <f t="shared" si="18"/>
        <v>7819.4810735999999</v>
      </c>
      <c r="I72" s="13"/>
    </row>
    <row r="73" spans="1:9" ht="25.5" x14ac:dyDescent="0.2">
      <c r="A73" s="113"/>
      <c r="B73" s="4" t="s">
        <v>17</v>
      </c>
      <c r="C73" s="5">
        <v>0.04</v>
      </c>
      <c r="D73" s="121"/>
      <c r="E73" s="59">
        <f>+E68*0.04</f>
        <v>25774</v>
      </c>
      <c r="F73" s="58">
        <f t="shared" si="16"/>
        <v>3608.36</v>
      </c>
      <c r="G73" s="64">
        <f t="shared" si="17"/>
        <v>577.33760000000007</v>
      </c>
      <c r="H73" s="64">
        <f t="shared" si="18"/>
        <v>29959.6976</v>
      </c>
      <c r="I73" s="13"/>
    </row>
    <row r="74" spans="1:9" x14ac:dyDescent="0.2">
      <c r="A74" s="113"/>
      <c r="B74" s="4" t="s">
        <v>18</v>
      </c>
      <c r="C74" s="6" t="s">
        <v>4</v>
      </c>
      <c r="D74" s="121"/>
      <c r="E74" s="64">
        <f>+($E$68+$E$69)*8.33/100</f>
        <v>59838.555</v>
      </c>
      <c r="F74" s="58">
        <f t="shared" si="16"/>
        <v>8377.3976999999995</v>
      </c>
      <c r="G74" s="64">
        <f t="shared" si="17"/>
        <v>1340.383632</v>
      </c>
      <c r="H74" s="64">
        <f t="shared" si="18"/>
        <v>69556.336331999992</v>
      </c>
      <c r="I74" s="13"/>
    </row>
    <row r="75" spans="1:9" x14ac:dyDescent="0.2">
      <c r="A75" s="113"/>
      <c r="B75" s="4" t="s">
        <v>19</v>
      </c>
      <c r="C75" s="5">
        <v>0.01</v>
      </c>
      <c r="D75" s="121"/>
      <c r="E75" s="64">
        <f>+($E$68+$E$69)*1/100</f>
        <v>7183.5</v>
      </c>
      <c r="F75" s="58">
        <f t="shared" si="16"/>
        <v>1005.69</v>
      </c>
      <c r="G75" s="64">
        <f t="shared" si="17"/>
        <v>160.91040000000001</v>
      </c>
      <c r="H75" s="64">
        <f t="shared" si="18"/>
        <v>8350.1004000000012</v>
      </c>
      <c r="I75" s="13"/>
    </row>
    <row r="76" spans="1:9" x14ac:dyDescent="0.2">
      <c r="A76" s="113"/>
      <c r="B76" s="115" t="s">
        <v>20</v>
      </c>
      <c r="C76" s="116" t="s">
        <v>5</v>
      </c>
      <c r="D76" s="121"/>
      <c r="E76" s="106">
        <f>+(E68+E69)*8.33/100</f>
        <v>59838.555</v>
      </c>
      <c r="F76" s="106">
        <f t="shared" si="16"/>
        <v>8377.3976999999995</v>
      </c>
      <c r="G76" s="106">
        <f t="shared" si="17"/>
        <v>1340.383632</v>
      </c>
      <c r="H76" s="106">
        <f t="shared" si="18"/>
        <v>69556.336331999992</v>
      </c>
      <c r="I76" s="13"/>
    </row>
    <row r="77" spans="1:9" x14ac:dyDescent="0.2">
      <c r="A77" s="113"/>
      <c r="B77" s="115"/>
      <c r="C77" s="116"/>
      <c r="D77" s="121"/>
      <c r="E77" s="107"/>
      <c r="F77" s="107">
        <f t="shared" si="16"/>
        <v>0</v>
      </c>
      <c r="G77" s="107"/>
      <c r="H77" s="107">
        <f t="shared" si="18"/>
        <v>0</v>
      </c>
      <c r="I77" s="13"/>
    </row>
    <row r="78" spans="1:9" x14ac:dyDescent="0.2">
      <c r="A78" s="113"/>
      <c r="B78" s="115" t="s">
        <v>21</v>
      </c>
      <c r="C78" s="116" t="s">
        <v>6</v>
      </c>
      <c r="D78" s="121"/>
      <c r="E78" s="106">
        <f>+E68*4.17/100</f>
        <v>26869.395</v>
      </c>
      <c r="F78" s="106">
        <f t="shared" si="16"/>
        <v>3761.7153000000003</v>
      </c>
      <c r="G78" s="106">
        <f t="shared" si="17"/>
        <v>601.87444800000003</v>
      </c>
      <c r="H78" s="106">
        <f t="shared" si="18"/>
        <v>31232.984747999999</v>
      </c>
      <c r="I78" s="13"/>
    </row>
    <row r="79" spans="1:9" x14ac:dyDescent="0.2">
      <c r="A79" s="113"/>
      <c r="B79" s="115"/>
      <c r="C79" s="116"/>
      <c r="D79" s="122"/>
      <c r="E79" s="107"/>
      <c r="F79" s="107"/>
      <c r="G79" s="107"/>
      <c r="H79" s="107"/>
      <c r="I79" s="13"/>
    </row>
    <row r="80" spans="1:9" x14ac:dyDescent="0.2">
      <c r="A80" s="113"/>
      <c r="B80" s="117" t="s">
        <v>10</v>
      </c>
      <c r="C80" s="118"/>
      <c r="D80" s="118"/>
      <c r="E80" s="118"/>
      <c r="F80" s="118"/>
      <c r="G80" s="119"/>
      <c r="H80" s="64">
        <f>+H78+H76+H75+H74+H73+H72+H71+H70</f>
        <v>1141364.0692856</v>
      </c>
      <c r="I80" s="13"/>
    </row>
    <row r="81" spans="1:8" ht="34.5" customHeight="1" x14ac:dyDescent="0.2">
      <c r="B81" s="112" t="s">
        <v>27</v>
      </c>
      <c r="C81" s="112"/>
      <c r="D81" s="112"/>
      <c r="E81" s="112"/>
      <c r="F81" s="112"/>
      <c r="G81" s="112"/>
      <c r="H81" s="64">
        <f>+(H69+H56+H44+H31+H18+H5)*8</f>
        <v>29576793.600000001</v>
      </c>
    </row>
    <row r="82" spans="1:8" ht="39" customHeight="1" x14ac:dyDescent="0.2">
      <c r="B82" s="112" t="s">
        <v>28</v>
      </c>
      <c r="C82" s="112"/>
      <c r="D82" s="112"/>
      <c r="E82" s="112"/>
      <c r="F82" s="112"/>
      <c r="G82" s="112"/>
      <c r="H82" s="64">
        <f>+((H80+H67+H54+H42+H29+H16)*8)-H81</f>
        <v>278747368.47286397</v>
      </c>
    </row>
    <row r="83" spans="1:8" ht="39" customHeight="1" x14ac:dyDescent="0.2">
      <c r="B83" s="112" t="s">
        <v>203</v>
      </c>
      <c r="C83" s="112"/>
      <c r="D83" s="112"/>
      <c r="E83" s="112"/>
      <c r="F83" s="112"/>
      <c r="G83" s="112"/>
      <c r="H83" s="64">
        <v>8800000</v>
      </c>
    </row>
    <row r="84" spans="1:8" ht="33.75" customHeight="1" x14ac:dyDescent="0.2">
      <c r="B84" s="112" t="s">
        <v>26</v>
      </c>
      <c r="C84" s="112"/>
      <c r="D84" s="112"/>
      <c r="E84" s="112"/>
      <c r="F84" s="112"/>
      <c r="G84" s="112"/>
      <c r="H84" s="64">
        <f>+(((H81*2.77/100)/8)*12)+(H81/8)*12</f>
        <v>45594106.174080007</v>
      </c>
    </row>
    <row r="85" spans="1:8" ht="57" customHeight="1" x14ac:dyDescent="0.2">
      <c r="B85" s="112" t="s">
        <v>25</v>
      </c>
      <c r="C85" s="112"/>
      <c r="D85" s="112"/>
      <c r="E85" s="112"/>
      <c r="F85" s="112"/>
      <c r="G85" s="112"/>
      <c r="H85" s="64">
        <f>+(((H82*4.66/100)/8)*12)+(H82/8)*12</f>
        <v>437605493.76554918</v>
      </c>
    </row>
    <row r="86" spans="1:8" ht="57" customHeight="1" x14ac:dyDescent="0.2">
      <c r="B86" s="112" t="s">
        <v>204</v>
      </c>
      <c r="C86" s="112"/>
      <c r="D86" s="112"/>
      <c r="E86" s="112"/>
      <c r="F86" s="112"/>
      <c r="G86" s="112"/>
      <c r="H86" s="64">
        <f>+(((H83*3.66/100)/8)*12)+(H83/8)*12</f>
        <v>13683120</v>
      </c>
    </row>
    <row r="87" spans="1:8" ht="32.25" customHeight="1" x14ac:dyDescent="0.2">
      <c r="B87" s="112" t="s">
        <v>23</v>
      </c>
      <c r="C87" s="112"/>
      <c r="D87" s="112"/>
      <c r="E87" s="112"/>
      <c r="F87" s="112"/>
      <c r="G87" s="112"/>
      <c r="H87" s="64">
        <f>+(((H84*2.77/100)/12)*4)+(H84/12)*4</f>
        <v>15619020.971700674</v>
      </c>
    </row>
    <row r="88" spans="1:8" ht="26.25" customHeight="1" x14ac:dyDescent="0.2">
      <c r="B88" s="112" t="s">
        <v>24</v>
      </c>
      <c r="C88" s="112"/>
      <c r="D88" s="112"/>
      <c r="E88" s="112"/>
      <c r="F88" s="112"/>
      <c r="G88" s="112"/>
      <c r="H88" s="64">
        <f>+(((H85*4.66/100)/12)*4)+(H85/12)*4</f>
        <v>152665969.92500794</v>
      </c>
    </row>
    <row r="89" spans="1:8" ht="26.25" customHeight="1" x14ac:dyDescent="0.2">
      <c r="B89" s="112" t="s">
        <v>205</v>
      </c>
      <c r="C89" s="112"/>
      <c r="D89" s="112"/>
      <c r="E89" s="112"/>
      <c r="F89" s="112"/>
      <c r="G89" s="112"/>
      <c r="H89" s="64">
        <f>+(((H86*3.66/100)/12)*4)+(H86/12)*4</f>
        <v>4727974.0640000002</v>
      </c>
    </row>
    <row r="90" spans="1:8" ht="29.25" customHeight="1" x14ac:dyDescent="0.2">
      <c r="B90" s="112" t="s">
        <v>193</v>
      </c>
      <c r="C90" s="112"/>
      <c r="D90" s="112"/>
      <c r="E90" s="112"/>
      <c r="F90" s="112"/>
      <c r="G90" s="112"/>
      <c r="H90" s="64">
        <f>SUM(H81:H89)</f>
        <v>987019846.97320175</v>
      </c>
    </row>
    <row r="93" spans="1:8" x14ac:dyDescent="0.2">
      <c r="A93" s="108" t="s">
        <v>183</v>
      </c>
      <c r="B93" s="108"/>
      <c r="C93" s="108"/>
      <c r="D93" s="108"/>
      <c r="E93" s="108"/>
      <c r="F93" s="108"/>
      <c r="G93" s="108"/>
      <c r="H93" s="108"/>
    </row>
    <row r="94" spans="1:8" x14ac:dyDescent="0.2">
      <c r="A94" s="108"/>
      <c r="B94" s="108"/>
      <c r="C94" s="108"/>
      <c r="D94" s="108"/>
      <c r="E94" s="108"/>
      <c r="F94" s="108"/>
      <c r="G94" s="108"/>
      <c r="H94" s="108"/>
    </row>
    <row r="95" spans="1:8" x14ac:dyDescent="0.2">
      <c r="A95" s="108"/>
      <c r="B95" s="108"/>
      <c r="C95" s="108"/>
      <c r="D95" s="108"/>
      <c r="E95" s="108"/>
      <c r="F95" s="108"/>
      <c r="G95" s="108"/>
      <c r="H95" s="108"/>
    </row>
    <row r="96" spans="1:8" x14ac:dyDescent="0.2">
      <c r="A96" s="108"/>
      <c r="B96" s="108"/>
      <c r="C96" s="108"/>
      <c r="D96" s="108"/>
      <c r="E96" s="108"/>
      <c r="F96" s="108"/>
      <c r="G96" s="108"/>
      <c r="H96" s="108"/>
    </row>
    <row r="97" spans="1:13" ht="6.75" customHeight="1" x14ac:dyDescent="0.2"/>
    <row r="98" spans="1:13" ht="87.75" customHeight="1" x14ac:dyDescent="0.2">
      <c r="A98" s="46" t="s">
        <v>180</v>
      </c>
      <c r="B98" s="109" t="s">
        <v>181</v>
      </c>
      <c r="C98" s="109"/>
      <c r="D98" s="109"/>
      <c r="E98" s="109"/>
      <c r="F98" s="109"/>
      <c r="G98" s="109"/>
      <c r="H98" s="62" t="s">
        <v>182</v>
      </c>
      <c r="I98" s="45"/>
      <c r="J98" s="45"/>
      <c r="K98" s="45"/>
      <c r="L98" s="45"/>
      <c r="M98" s="45"/>
    </row>
    <row r="99" spans="1:13" ht="15.75" customHeight="1" x14ac:dyDescent="0.2">
      <c r="A99" s="48"/>
      <c r="B99" s="110"/>
      <c r="C99" s="110"/>
      <c r="D99" s="110"/>
      <c r="E99" s="110"/>
      <c r="F99" s="110"/>
      <c r="G99" s="110"/>
      <c r="H99" s="60"/>
    </row>
    <row r="101" spans="1:13" ht="31.5" customHeight="1" x14ac:dyDescent="0.2">
      <c r="A101" s="111" t="s">
        <v>184</v>
      </c>
      <c r="B101" s="111"/>
      <c r="C101" s="111"/>
      <c r="D101" s="111"/>
      <c r="E101" s="111"/>
      <c r="F101" s="111"/>
      <c r="G101" s="111"/>
      <c r="H101" s="111"/>
    </row>
    <row r="102" spans="1:13" ht="16.5" customHeight="1" x14ac:dyDescent="0.2"/>
    <row r="103" spans="1:13" ht="116.25" customHeight="1" x14ac:dyDescent="0.2">
      <c r="A103" s="114" t="s">
        <v>219</v>
      </c>
      <c r="B103" s="114"/>
      <c r="C103" s="114"/>
      <c r="D103" s="114"/>
      <c r="E103" s="114"/>
      <c r="F103" s="114"/>
      <c r="G103" s="114"/>
      <c r="H103" s="114"/>
    </row>
    <row r="104" spans="1:13" ht="97.5" customHeight="1" x14ac:dyDescent="0.2">
      <c r="A104" s="103" t="s">
        <v>222</v>
      </c>
      <c r="B104" s="104"/>
      <c r="C104" s="104"/>
      <c r="D104" s="104"/>
      <c r="E104" s="104"/>
      <c r="F104" s="104"/>
      <c r="G104" s="104"/>
      <c r="H104" s="105"/>
    </row>
    <row r="105" spans="1:13" x14ac:dyDescent="0.2">
      <c r="A105" s="128" t="s">
        <v>223</v>
      </c>
      <c r="B105" s="128"/>
      <c r="C105" s="128"/>
      <c r="D105" s="128"/>
      <c r="E105" s="128"/>
      <c r="F105" s="128"/>
      <c r="G105" s="128"/>
      <c r="H105" s="128"/>
    </row>
  </sheetData>
  <mergeCells count="124">
    <mergeCell ref="A105:H105"/>
    <mergeCell ref="H1:H2"/>
    <mergeCell ref="B14:B15"/>
    <mergeCell ref="C14:C15"/>
    <mergeCell ref="A1:C2"/>
    <mergeCell ref="F1:F2"/>
    <mergeCell ref="G1:G2"/>
    <mergeCell ref="B3:C3"/>
    <mergeCell ref="B4:C4"/>
    <mergeCell ref="B5:C5"/>
    <mergeCell ref="B6:C6"/>
    <mergeCell ref="B12:B13"/>
    <mergeCell ref="C12:C13"/>
    <mergeCell ref="E12:E13"/>
    <mergeCell ref="F12:F13"/>
    <mergeCell ref="G12:G13"/>
    <mergeCell ref="H12:H13"/>
    <mergeCell ref="E14:E15"/>
    <mergeCell ref="F14:F15"/>
    <mergeCell ref="G14:G15"/>
    <mergeCell ref="H14:H15"/>
    <mergeCell ref="A30:A42"/>
    <mergeCell ref="D1:D2"/>
    <mergeCell ref="E1:E2"/>
    <mergeCell ref="D3:D15"/>
    <mergeCell ref="D30:D41"/>
    <mergeCell ref="A4:A16"/>
    <mergeCell ref="B16:G16"/>
    <mergeCell ref="A17:A29"/>
    <mergeCell ref="B17:C17"/>
    <mergeCell ref="D17:D28"/>
    <mergeCell ref="B18:C18"/>
    <mergeCell ref="B19:C19"/>
    <mergeCell ref="B25:B26"/>
    <mergeCell ref="C25:C26"/>
    <mergeCell ref="B30:C30"/>
    <mergeCell ref="B31:C31"/>
    <mergeCell ref="B40:B41"/>
    <mergeCell ref="C40:C41"/>
    <mergeCell ref="B32:C32"/>
    <mergeCell ref="E27:E28"/>
    <mergeCell ref="F27:F28"/>
    <mergeCell ref="G27:G28"/>
    <mergeCell ref="E40:E41"/>
    <mergeCell ref="F40:F41"/>
    <mergeCell ref="E25:E26"/>
    <mergeCell ref="F25:F26"/>
    <mergeCell ref="G25:G26"/>
    <mergeCell ref="G63:G64"/>
    <mergeCell ref="E76:E77"/>
    <mergeCell ref="F76:F77"/>
    <mergeCell ref="A43:A54"/>
    <mergeCell ref="B80:G80"/>
    <mergeCell ref="A55:A67"/>
    <mergeCell ref="B68:C68"/>
    <mergeCell ref="B69:C69"/>
    <mergeCell ref="B70:C70"/>
    <mergeCell ref="B76:B77"/>
    <mergeCell ref="C76:C77"/>
    <mergeCell ref="B63:B64"/>
    <mergeCell ref="C63:C64"/>
    <mergeCell ref="B65:B66"/>
    <mergeCell ref="C65:C66"/>
    <mergeCell ref="B43:C43"/>
    <mergeCell ref="B44:C44"/>
    <mergeCell ref="B45:C45"/>
    <mergeCell ref="D68:D79"/>
    <mergeCell ref="B78:B79"/>
    <mergeCell ref="C78:C79"/>
    <mergeCell ref="B51:B52"/>
    <mergeCell ref="C51:C52"/>
    <mergeCell ref="B55:C55"/>
    <mergeCell ref="B56:C56"/>
    <mergeCell ref="B57:C57"/>
    <mergeCell ref="E63:E64"/>
    <mergeCell ref="F63:F64"/>
    <mergeCell ref="H25:H26"/>
    <mergeCell ref="B89:G89"/>
    <mergeCell ref="B81:G81"/>
    <mergeCell ref="B84:G84"/>
    <mergeCell ref="B85:G85"/>
    <mergeCell ref="B87:G87"/>
    <mergeCell ref="B88:G88"/>
    <mergeCell ref="B82:G82"/>
    <mergeCell ref="B83:G83"/>
    <mergeCell ref="B86:G86"/>
    <mergeCell ref="B27:B28"/>
    <mergeCell ref="C27:C28"/>
    <mergeCell ref="B29:G29"/>
    <mergeCell ref="D43:D53"/>
    <mergeCell ref="D55:D66"/>
    <mergeCell ref="B38:B39"/>
    <mergeCell ref="C38:C39"/>
    <mergeCell ref="H40:H41"/>
    <mergeCell ref="E51:E52"/>
    <mergeCell ref="F51:F52"/>
    <mergeCell ref="G51:G52"/>
    <mergeCell ref="H51:H52"/>
    <mergeCell ref="H27:H28"/>
    <mergeCell ref="E38:E39"/>
    <mergeCell ref="F38:F39"/>
    <mergeCell ref="H38:H39"/>
    <mergeCell ref="A104:H104"/>
    <mergeCell ref="G76:G77"/>
    <mergeCell ref="H76:H77"/>
    <mergeCell ref="E78:E79"/>
    <mergeCell ref="F78:F79"/>
    <mergeCell ref="G78:G79"/>
    <mergeCell ref="H78:H79"/>
    <mergeCell ref="H63:H64"/>
    <mergeCell ref="E65:E66"/>
    <mergeCell ref="F65:F66"/>
    <mergeCell ref="G65:G66"/>
    <mergeCell ref="H65:H66"/>
    <mergeCell ref="A93:H96"/>
    <mergeCell ref="B98:G98"/>
    <mergeCell ref="B99:G99"/>
    <mergeCell ref="A101:H101"/>
    <mergeCell ref="B90:G90"/>
    <mergeCell ref="A68:A80"/>
    <mergeCell ref="A103:H103"/>
    <mergeCell ref="B42:G42"/>
    <mergeCell ref="B54:G54"/>
    <mergeCell ref="B67:G6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opLeftCell="A12" workbookViewId="0">
      <selection activeCell="A22" sqref="A22"/>
    </sheetView>
  </sheetViews>
  <sheetFormatPr baseColWidth="10" defaultRowHeight="12.75" x14ac:dyDescent="0.2"/>
  <cols>
    <col min="1" max="1" width="62.140625" style="15" customWidth="1"/>
    <col min="2" max="2" width="30.5703125" style="15" customWidth="1"/>
    <col min="3" max="3" width="31.85546875" style="15" customWidth="1"/>
    <col min="4" max="4" width="33.28515625" style="15" customWidth="1"/>
    <col min="5" max="16384" width="11.42578125" style="15"/>
  </cols>
  <sheetData>
    <row r="1" spans="1:11" ht="36.75" customHeight="1" x14ac:dyDescent="0.2">
      <c r="A1" s="54" t="s">
        <v>29</v>
      </c>
      <c r="B1" s="18" t="s">
        <v>195</v>
      </c>
      <c r="C1" s="18" t="s">
        <v>196</v>
      </c>
      <c r="D1" s="18" t="s">
        <v>197</v>
      </c>
      <c r="E1" s="53"/>
    </row>
    <row r="2" spans="1:11" ht="75" customHeight="1" x14ac:dyDescent="0.2">
      <c r="A2" s="16" t="s">
        <v>32</v>
      </c>
      <c r="B2" s="66">
        <v>95695500</v>
      </c>
      <c r="C2" s="67">
        <v>148839582</v>
      </c>
      <c r="D2" s="67">
        <f>+(((C2*3.66/100)/12)*4)+(C2/12)*4</f>
        <v>51429036.900399998</v>
      </c>
      <c r="E2" s="68"/>
      <c r="F2" s="68"/>
    </row>
    <row r="3" spans="1:11" ht="136.5" customHeight="1" x14ac:dyDescent="0.2">
      <c r="A3" s="16" t="s">
        <v>34</v>
      </c>
      <c r="B3" s="66">
        <v>1080339</v>
      </c>
      <c r="C3" s="67">
        <f>+(((B3*3.66/100)/8)*12)+(B3/8)*12</f>
        <v>1679819.1111000001</v>
      </c>
      <c r="D3" s="67">
        <v>578026</v>
      </c>
      <c r="E3" s="68"/>
      <c r="F3" s="68"/>
    </row>
    <row r="4" spans="1:11" ht="75.75" customHeight="1" x14ac:dyDescent="0.2">
      <c r="A4" s="16" t="s">
        <v>33</v>
      </c>
      <c r="B4" s="66">
        <f>1257319+3142285+2557219+3082730+1320551+1390428+1030501+1371324+1086962+3085210+1226235+1219900+1272021+1120644+1252834+1261230+1181827+1235442+1522709+1037265+1000357+967439+1049419+1036863+1180404+1325650+1182766</f>
        <v>39397534</v>
      </c>
      <c r="C4" s="67">
        <f>1955005+4885939+3976220+4793336+2053324+2161976+1602325+2132272+1690118+4797194+1906673+1896823+1977866+1742490+1948031+1961087+1837622+1920988+2367661+1612843+1555455+1504271+1631742+1612219+1835410+2061253+1839083</f>
        <v>61259226</v>
      </c>
      <c r="D4" s="67">
        <f>675519+1688255+1373917+1656257+709492+747035+552261+735375+582596+1654798+657423+654020+682023+600692+671714+674829+633564+660973+815314+555895+536065+518380+562425+555679+632799+710836+634069</f>
        <v>21132205</v>
      </c>
      <c r="F4" s="68"/>
    </row>
    <row r="5" spans="1:11" ht="12.75" customHeight="1" x14ac:dyDescent="0.2">
      <c r="A5" s="55"/>
      <c r="B5" s="56"/>
      <c r="E5" s="91"/>
    </row>
    <row r="6" spans="1:11" ht="24.75" customHeight="1" x14ac:dyDescent="0.2">
      <c r="A6" s="142" t="s">
        <v>192</v>
      </c>
      <c r="B6" s="142"/>
      <c r="C6" s="142">
        <f>+SUM(B2:D4)</f>
        <v>421091268.0115</v>
      </c>
      <c r="D6" s="142"/>
      <c r="E6" s="141"/>
      <c r="F6" s="141"/>
      <c r="G6" s="141"/>
      <c r="H6" s="141"/>
      <c r="I6" s="141"/>
      <c r="J6" s="141"/>
      <c r="K6" s="141"/>
    </row>
    <row r="7" spans="1:11" x14ac:dyDescent="0.2">
      <c r="A7" s="17"/>
    </row>
    <row r="8" spans="1:11" ht="12.75" customHeight="1" x14ac:dyDescent="0.2">
      <c r="A8" s="108" t="s">
        <v>183</v>
      </c>
      <c r="B8" s="108"/>
      <c r="C8" s="108"/>
      <c r="D8" s="108"/>
      <c r="E8" s="49"/>
      <c r="F8" s="49"/>
      <c r="G8" s="49"/>
      <c r="H8" s="49"/>
    </row>
    <row r="9" spans="1:11" x14ac:dyDescent="0.2">
      <c r="A9" s="108"/>
      <c r="B9" s="108"/>
      <c r="C9" s="108"/>
      <c r="D9" s="108"/>
      <c r="E9" s="49"/>
      <c r="F9" s="49"/>
      <c r="G9" s="49"/>
      <c r="H9" s="49"/>
    </row>
    <row r="10" spans="1:11" x14ac:dyDescent="0.2">
      <c r="A10" s="1"/>
      <c r="B10" s="1"/>
      <c r="C10" s="1"/>
      <c r="D10" s="1"/>
      <c r="E10" s="1"/>
      <c r="F10" s="1"/>
      <c r="G10" s="1"/>
      <c r="H10" s="1"/>
    </row>
    <row r="11" spans="1:11" ht="81" customHeight="1" x14ac:dyDescent="0.2">
      <c r="A11" s="46" t="s">
        <v>180</v>
      </c>
      <c r="B11" s="47" t="s">
        <v>181</v>
      </c>
      <c r="C11" s="47" t="s">
        <v>182</v>
      </c>
      <c r="D11" s="45"/>
      <c r="E11" s="45"/>
      <c r="F11" s="45"/>
      <c r="G11" s="45"/>
    </row>
    <row r="12" spans="1:11" ht="13.5" x14ac:dyDescent="0.2">
      <c r="A12" s="47"/>
      <c r="B12" s="47"/>
      <c r="C12" s="47"/>
      <c r="D12" s="45"/>
      <c r="E12" s="45"/>
      <c r="F12" s="45"/>
      <c r="G12" s="45"/>
      <c r="H12" s="50"/>
    </row>
    <row r="13" spans="1:11" ht="6.75" customHeight="1" x14ac:dyDescent="0.2"/>
    <row r="14" spans="1:11" ht="28.5" customHeight="1" x14ac:dyDescent="0.2">
      <c r="A14" s="111" t="s">
        <v>184</v>
      </c>
      <c r="B14" s="111"/>
      <c r="C14" s="111"/>
      <c r="D14" s="51"/>
      <c r="E14" s="51"/>
      <c r="F14" s="51"/>
      <c r="G14" s="51"/>
      <c r="H14" s="51"/>
    </row>
    <row r="15" spans="1:11" ht="16.5" customHeight="1" x14ac:dyDescent="0.2">
      <c r="A15" s="90"/>
      <c r="B15" s="90"/>
      <c r="C15" s="90"/>
      <c r="D15" s="51"/>
      <c r="E15" s="51"/>
      <c r="F15" s="51"/>
      <c r="G15" s="51"/>
      <c r="H15" s="51"/>
    </row>
    <row r="16" spans="1:11" ht="78.75" customHeight="1" x14ac:dyDescent="0.2">
      <c r="A16" s="139" t="s">
        <v>220</v>
      </c>
      <c r="B16" s="139"/>
      <c r="C16" s="139"/>
    </row>
    <row r="17" spans="1:3" ht="46.5" customHeight="1" x14ac:dyDescent="0.2">
      <c r="A17" s="140" t="s">
        <v>211</v>
      </c>
      <c r="B17" s="139"/>
      <c r="C17" s="139"/>
    </row>
    <row r="18" spans="1:3" ht="36.75" customHeight="1" x14ac:dyDescent="0.2">
      <c r="A18" s="139" t="s">
        <v>212</v>
      </c>
      <c r="B18" s="139"/>
      <c r="C18" s="139"/>
    </row>
    <row r="19" spans="1:3" ht="38.25" customHeight="1" x14ac:dyDescent="0.2">
      <c r="A19" s="139" t="s">
        <v>213</v>
      </c>
      <c r="B19" s="139"/>
      <c r="C19" s="139"/>
    </row>
    <row r="20" spans="1:3" x14ac:dyDescent="0.2">
      <c r="A20" s="138" t="s">
        <v>224</v>
      </c>
      <c r="B20" s="138"/>
      <c r="C20" s="138"/>
    </row>
  </sheetData>
  <mergeCells count="10">
    <mergeCell ref="A20:C20"/>
    <mergeCell ref="A19:C19"/>
    <mergeCell ref="A17:C17"/>
    <mergeCell ref="E6:K6"/>
    <mergeCell ref="A6:B6"/>
    <mergeCell ref="C6:D6"/>
    <mergeCell ref="A8:D9"/>
    <mergeCell ref="A16:C16"/>
    <mergeCell ref="A18:C18"/>
    <mergeCell ref="A14:C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opLeftCell="A49" zoomScaleNormal="100" workbookViewId="0">
      <selection activeCell="A56" sqref="A56:Q56"/>
    </sheetView>
  </sheetViews>
  <sheetFormatPr baseColWidth="10" defaultRowHeight="15" x14ac:dyDescent="0.25"/>
  <cols>
    <col min="1" max="2" width="11.42578125" style="19"/>
    <col min="3" max="3" width="15.5703125" style="19" customWidth="1"/>
    <col min="4" max="4" width="8.85546875" style="19" customWidth="1"/>
    <col min="5" max="5" width="9.85546875" style="19" customWidth="1"/>
    <col min="6" max="6" width="10.7109375" style="19" customWidth="1"/>
    <col min="7" max="8" width="11.42578125" style="73"/>
    <col min="9" max="9" width="16.5703125" style="73" customWidth="1"/>
    <col min="10" max="10" width="6.42578125" style="19" customWidth="1"/>
    <col min="11" max="12" width="11.42578125" style="73"/>
    <col min="13" max="13" width="17.42578125" style="73" customWidth="1"/>
    <col min="14" max="16" width="11.42578125" style="19"/>
    <col min="17" max="17" width="17.42578125" style="19" customWidth="1"/>
    <col min="18" max="16384" width="11.42578125" style="19"/>
  </cols>
  <sheetData>
    <row r="1" spans="1:17" ht="45.75" customHeight="1" x14ac:dyDescent="0.25">
      <c r="A1" s="148" t="s">
        <v>35</v>
      </c>
      <c r="B1" s="149"/>
      <c r="C1" s="149"/>
      <c r="D1" s="149"/>
      <c r="E1" s="150"/>
      <c r="F1" s="159" t="s">
        <v>143</v>
      </c>
      <c r="G1" s="159"/>
      <c r="H1" s="159"/>
      <c r="I1" s="159"/>
      <c r="J1" s="159" t="s">
        <v>144</v>
      </c>
      <c r="K1" s="159"/>
      <c r="L1" s="159"/>
      <c r="M1" s="159"/>
      <c r="N1" s="159" t="s">
        <v>145</v>
      </c>
      <c r="O1" s="159"/>
      <c r="P1" s="159"/>
      <c r="Q1" s="159"/>
    </row>
    <row r="2" spans="1:17" ht="39" customHeight="1" x14ac:dyDescent="0.25">
      <c r="A2" s="154" t="s">
        <v>134</v>
      </c>
      <c r="B2" s="154"/>
      <c r="C2" s="154"/>
      <c r="D2" s="25" t="s">
        <v>135</v>
      </c>
      <c r="E2" s="25" t="s">
        <v>136</v>
      </c>
      <c r="F2" s="25" t="s">
        <v>140</v>
      </c>
      <c r="G2" s="69" t="s">
        <v>141</v>
      </c>
      <c r="H2" s="69" t="s">
        <v>194</v>
      </c>
      <c r="I2" s="69" t="s">
        <v>177</v>
      </c>
      <c r="J2" s="25" t="s">
        <v>139</v>
      </c>
      <c r="K2" s="69" t="s">
        <v>142</v>
      </c>
      <c r="L2" s="69" t="s">
        <v>194</v>
      </c>
      <c r="M2" s="69" t="s">
        <v>177</v>
      </c>
      <c r="N2" s="25" t="s">
        <v>137</v>
      </c>
      <c r="O2" s="25" t="s">
        <v>142</v>
      </c>
      <c r="P2" s="25" t="s">
        <v>194</v>
      </c>
      <c r="Q2" s="25" t="s">
        <v>177</v>
      </c>
    </row>
    <row r="3" spans="1:17" x14ac:dyDescent="0.25">
      <c r="A3" s="25" t="s">
        <v>36</v>
      </c>
      <c r="B3" s="25" t="s">
        <v>37</v>
      </c>
      <c r="C3" s="25" t="s">
        <v>38</v>
      </c>
      <c r="D3" s="26"/>
      <c r="E3" s="26"/>
      <c r="F3" s="26"/>
      <c r="G3" s="69"/>
      <c r="H3" s="69"/>
      <c r="I3" s="69"/>
      <c r="J3" s="26"/>
      <c r="K3" s="69"/>
      <c r="L3" s="69"/>
      <c r="M3" s="69"/>
      <c r="N3" s="26"/>
      <c r="O3" s="25"/>
      <c r="P3" s="25"/>
      <c r="Q3" s="25"/>
    </row>
    <row r="4" spans="1:17" x14ac:dyDescent="0.25">
      <c r="A4" s="27" t="s">
        <v>39</v>
      </c>
      <c r="B4" s="27" t="s">
        <v>40</v>
      </c>
      <c r="C4" s="27" t="s">
        <v>41</v>
      </c>
      <c r="D4" s="28">
        <v>100</v>
      </c>
      <c r="E4" s="28"/>
      <c r="F4" s="28">
        <v>1</v>
      </c>
      <c r="G4" s="70">
        <v>90000</v>
      </c>
      <c r="H4" s="70">
        <f>+G4*0.16</f>
        <v>14400</v>
      </c>
      <c r="I4" s="70">
        <f>+G4+H4</f>
        <v>104400</v>
      </c>
      <c r="J4" s="28">
        <v>2</v>
      </c>
      <c r="K4" s="70">
        <f>+(G4*3.66/100)+G4</f>
        <v>93294</v>
      </c>
      <c r="L4" s="70">
        <f>+K4*0.16</f>
        <v>14927.04</v>
      </c>
      <c r="M4" s="70">
        <f>+(K4+L4)*2</f>
        <v>216442.08000000002</v>
      </c>
      <c r="N4" s="28">
        <v>1</v>
      </c>
      <c r="O4" s="70">
        <f>+(K4*3.66/100)+K4</f>
        <v>96708.560400000002</v>
      </c>
      <c r="P4" s="70">
        <f>+O4*0.16</f>
        <v>15473.369664</v>
      </c>
      <c r="Q4" s="70">
        <f>+(O4+P4)</f>
        <v>112181.930064</v>
      </c>
    </row>
    <row r="5" spans="1:17" ht="60" customHeight="1" x14ac:dyDescent="0.25">
      <c r="A5" s="27" t="s">
        <v>42</v>
      </c>
      <c r="B5" s="27" t="s">
        <v>43</v>
      </c>
      <c r="C5" s="27" t="s">
        <v>44</v>
      </c>
      <c r="D5" s="28">
        <v>66.510000000000005</v>
      </c>
      <c r="E5" s="28"/>
      <c r="F5" s="28">
        <v>1</v>
      </c>
      <c r="G5" s="70">
        <v>59859</v>
      </c>
      <c r="H5" s="70">
        <f t="shared" ref="H5:H43" si="0">+G5*0.16</f>
        <v>9577.44</v>
      </c>
      <c r="I5" s="70">
        <f t="shared" ref="I5:I30" si="1">+G5+H5</f>
        <v>69436.44</v>
      </c>
      <c r="J5" s="28">
        <v>2</v>
      </c>
      <c r="K5" s="70">
        <f t="shared" ref="K5:K43" si="2">+(G5*3.66/100)+G5</f>
        <v>62049.839399999997</v>
      </c>
      <c r="L5" s="70">
        <f t="shared" ref="L5:L43" si="3">+K5*0.16</f>
        <v>9927.9743039999994</v>
      </c>
      <c r="M5" s="70">
        <f t="shared" ref="M5:M43" si="4">+(K5+L5)*2</f>
        <v>143955.627408</v>
      </c>
      <c r="N5" s="28">
        <v>1</v>
      </c>
      <c r="O5" s="70">
        <f t="shared" ref="O5:O43" si="5">+(K5*3.66/100)+K5</f>
        <v>64320.863522039996</v>
      </c>
      <c r="P5" s="70">
        <f t="shared" ref="P5:P43" si="6">+O5*0.16</f>
        <v>10291.3381635264</v>
      </c>
      <c r="Q5" s="70">
        <f t="shared" ref="Q5:Q43" si="7">+(O5+P5)</f>
        <v>74612.201685566397</v>
      </c>
    </row>
    <row r="6" spans="1:17" ht="60" customHeight="1" x14ac:dyDescent="0.25">
      <c r="A6" s="27" t="s">
        <v>45</v>
      </c>
      <c r="B6" s="27" t="s">
        <v>46</v>
      </c>
      <c r="C6" s="27" t="s">
        <v>47</v>
      </c>
      <c r="D6" s="28">
        <v>72.31</v>
      </c>
      <c r="E6" s="28"/>
      <c r="F6" s="28">
        <v>1</v>
      </c>
      <c r="G6" s="70">
        <v>65079</v>
      </c>
      <c r="H6" s="70">
        <f t="shared" si="0"/>
        <v>10412.64</v>
      </c>
      <c r="I6" s="70">
        <f t="shared" si="1"/>
        <v>75491.64</v>
      </c>
      <c r="J6" s="28">
        <v>2</v>
      </c>
      <c r="K6" s="70">
        <f t="shared" si="2"/>
        <v>67460.891399999993</v>
      </c>
      <c r="L6" s="70">
        <f t="shared" si="3"/>
        <v>10793.742623999999</v>
      </c>
      <c r="M6" s="70">
        <f t="shared" si="4"/>
        <v>156509.268048</v>
      </c>
      <c r="N6" s="28">
        <v>1</v>
      </c>
      <c r="O6" s="70">
        <f t="shared" si="5"/>
        <v>69929.960025239998</v>
      </c>
      <c r="P6" s="70">
        <f t="shared" si="6"/>
        <v>11188.793604038399</v>
      </c>
      <c r="Q6" s="70">
        <f t="shared" si="7"/>
        <v>81118.753629278392</v>
      </c>
    </row>
    <row r="7" spans="1:17" ht="72" customHeight="1" x14ac:dyDescent="0.25">
      <c r="A7" s="27" t="s">
        <v>48</v>
      </c>
      <c r="B7" s="27" t="s">
        <v>49</v>
      </c>
      <c r="C7" s="27" t="s">
        <v>50</v>
      </c>
      <c r="D7" s="28">
        <v>149.63</v>
      </c>
      <c r="E7" s="28"/>
      <c r="F7" s="28">
        <v>1</v>
      </c>
      <c r="G7" s="70">
        <v>179556</v>
      </c>
      <c r="H7" s="70">
        <f t="shared" si="0"/>
        <v>28728.959999999999</v>
      </c>
      <c r="I7" s="70">
        <f t="shared" si="1"/>
        <v>208284.96</v>
      </c>
      <c r="J7" s="28">
        <v>2</v>
      </c>
      <c r="K7" s="70">
        <f t="shared" si="2"/>
        <v>186127.74960000001</v>
      </c>
      <c r="L7" s="70">
        <f t="shared" si="3"/>
        <v>29780.439936000002</v>
      </c>
      <c r="M7" s="70">
        <f t="shared" si="4"/>
        <v>431816.37907200004</v>
      </c>
      <c r="N7" s="28">
        <v>1</v>
      </c>
      <c r="O7" s="70">
        <f t="shared" si="5"/>
        <v>192940.02523536002</v>
      </c>
      <c r="P7" s="70">
        <f t="shared" si="6"/>
        <v>30870.404037657605</v>
      </c>
      <c r="Q7" s="70">
        <f t="shared" si="7"/>
        <v>223810.42927301762</v>
      </c>
    </row>
    <row r="8" spans="1:17" ht="60" customHeight="1" x14ac:dyDescent="0.25">
      <c r="A8" s="27" t="s">
        <v>51</v>
      </c>
      <c r="B8" s="27" t="s">
        <v>52</v>
      </c>
      <c r="C8" s="27" t="s">
        <v>53</v>
      </c>
      <c r="D8" s="28">
        <v>90</v>
      </c>
      <c r="E8" s="28"/>
      <c r="F8" s="28">
        <v>1</v>
      </c>
      <c r="G8" s="70">
        <v>81000</v>
      </c>
      <c r="H8" s="70">
        <f t="shared" si="0"/>
        <v>12960</v>
      </c>
      <c r="I8" s="70">
        <f t="shared" si="1"/>
        <v>93960</v>
      </c>
      <c r="J8" s="28">
        <v>2</v>
      </c>
      <c r="K8" s="70">
        <f t="shared" si="2"/>
        <v>83964.6</v>
      </c>
      <c r="L8" s="70">
        <f t="shared" si="3"/>
        <v>13434.336000000001</v>
      </c>
      <c r="M8" s="70">
        <f t="shared" si="4"/>
        <v>194797.872</v>
      </c>
      <c r="N8" s="28">
        <v>1</v>
      </c>
      <c r="O8" s="70">
        <f t="shared" si="5"/>
        <v>87037.704360000003</v>
      </c>
      <c r="P8" s="70">
        <f t="shared" si="6"/>
        <v>13926.032697600001</v>
      </c>
      <c r="Q8" s="70">
        <f t="shared" si="7"/>
        <v>100963.73705760001</v>
      </c>
    </row>
    <row r="9" spans="1:17" ht="72" customHeight="1" x14ac:dyDescent="0.25">
      <c r="A9" s="27" t="s">
        <v>54</v>
      </c>
      <c r="B9" s="27" t="s">
        <v>55</v>
      </c>
      <c r="C9" s="27" t="s">
        <v>56</v>
      </c>
      <c r="D9" s="28">
        <v>250</v>
      </c>
      <c r="E9" s="28"/>
      <c r="F9" s="28">
        <v>1</v>
      </c>
      <c r="G9" s="70">
        <v>225000</v>
      </c>
      <c r="H9" s="70">
        <f t="shared" si="0"/>
        <v>36000</v>
      </c>
      <c r="I9" s="70">
        <f t="shared" si="1"/>
        <v>261000</v>
      </c>
      <c r="J9" s="28">
        <v>2</v>
      </c>
      <c r="K9" s="70">
        <f t="shared" si="2"/>
        <v>233235</v>
      </c>
      <c r="L9" s="70">
        <f t="shared" si="3"/>
        <v>37317.599999999999</v>
      </c>
      <c r="M9" s="70">
        <f t="shared" si="4"/>
        <v>541105.19999999995</v>
      </c>
      <c r="N9" s="28">
        <v>1</v>
      </c>
      <c r="O9" s="70">
        <f t="shared" si="5"/>
        <v>241771.40100000001</v>
      </c>
      <c r="P9" s="70">
        <f t="shared" si="6"/>
        <v>38683.424160000002</v>
      </c>
      <c r="Q9" s="70">
        <f t="shared" si="7"/>
        <v>280454.82516000001</v>
      </c>
    </row>
    <row r="10" spans="1:17" ht="72" customHeight="1" x14ac:dyDescent="0.25">
      <c r="A10" s="27" t="s">
        <v>57</v>
      </c>
      <c r="B10" s="27" t="s">
        <v>58</v>
      </c>
      <c r="C10" s="27" t="s">
        <v>59</v>
      </c>
      <c r="D10" s="28">
        <v>100</v>
      </c>
      <c r="E10" s="28"/>
      <c r="F10" s="28">
        <v>1</v>
      </c>
      <c r="G10" s="70">
        <v>90000</v>
      </c>
      <c r="H10" s="70">
        <f t="shared" si="0"/>
        <v>14400</v>
      </c>
      <c r="I10" s="70">
        <f t="shared" si="1"/>
        <v>104400</v>
      </c>
      <c r="J10" s="28">
        <v>2</v>
      </c>
      <c r="K10" s="70">
        <f t="shared" si="2"/>
        <v>93294</v>
      </c>
      <c r="L10" s="70">
        <f t="shared" si="3"/>
        <v>14927.04</v>
      </c>
      <c r="M10" s="70">
        <f t="shared" si="4"/>
        <v>216442.08000000002</v>
      </c>
      <c r="N10" s="28">
        <v>1</v>
      </c>
      <c r="O10" s="70">
        <f t="shared" si="5"/>
        <v>96708.560400000002</v>
      </c>
      <c r="P10" s="70">
        <f t="shared" si="6"/>
        <v>15473.369664</v>
      </c>
      <c r="Q10" s="70">
        <f t="shared" si="7"/>
        <v>112181.930064</v>
      </c>
    </row>
    <row r="11" spans="1:17" ht="60" customHeight="1" x14ac:dyDescent="0.25">
      <c r="A11" s="27" t="s">
        <v>60</v>
      </c>
      <c r="B11" s="27" t="s">
        <v>61</v>
      </c>
      <c r="C11" s="27" t="s">
        <v>62</v>
      </c>
      <c r="D11" s="28">
        <v>64.19</v>
      </c>
      <c r="E11" s="28"/>
      <c r="F11" s="28">
        <v>1</v>
      </c>
      <c r="G11" s="70">
        <v>57771</v>
      </c>
      <c r="H11" s="70">
        <f t="shared" si="0"/>
        <v>9243.36</v>
      </c>
      <c r="I11" s="70">
        <f t="shared" si="1"/>
        <v>67014.36</v>
      </c>
      <c r="J11" s="28">
        <v>2</v>
      </c>
      <c r="K11" s="70">
        <f t="shared" si="2"/>
        <v>59885.418599999997</v>
      </c>
      <c r="L11" s="70">
        <f t="shared" si="3"/>
        <v>9581.6669760000004</v>
      </c>
      <c r="M11" s="70">
        <f t="shared" si="4"/>
        <v>138934.171152</v>
      </c>
      <c r="N11" s="28">
        <v>1</v>
      </c>
      <c r="O11" s="70">
        <f t="shared" si="5"/>
        <v>62077.224920759996</v>
      </c>
      <c r="P11" s="70">
        <f t="shared" si="6"/>
        <v>9932.3559873216</v>
      </c>
      <c r="Q11" s="70">
        <f t="shared" si="7"/>
        <v>72009.580908081596</v>
      </c>
    </row>
    <row r="12" spans="1:17" ht="60" customHeight="1" x14ac:dyDescent="0.25">
      <c r="A12" s="27" t="s">
        <v>63</v>
      </c>
      <c r="B12" s="27" t="s">
        <v>64</v>
      </c>
      <c r="C12" s="27" t="s">
        <v>65</v>
      </c>
      <c r="D12" s="28">
        <v>85.09</v>
      </c>
      <c r="E12" s="28"/>
      <c r="F12" s="28">
        <v>1</v>
      </c>
      <c r="G12" s="70">
        <v>76581</v>
      </c>
      <c r="H12" s="70">
        <f t="shared" si="0"/>
        <v>12252.960000000001</v>
      </c>
      <c r="I12" s="70">
        <f t="shared" si="1"/>
        <v>88833.96</v>
      </c>
      <c r="J12" s="28">
        <v>2</v>
      </c>
      <c r="K12" s="70">
        <f t="shared" si="2"/>
        <v>79383.864600000001</v>
      </c>
      <c r="L12" s="70">
        <f t="shared" si="3"/>
        <v>12701.418336000001</v>
      </c>
      <c r="M12" s="70">
        <f t="shared" si="4"/>
        <v>184170.56587200001</v>
      </c>
      <c r="N12" s="28">
        <v>1</v>
      </c>
      <c r="O12" s="70">
        <f t="shared" si="5"/>
        <v>82289.314044359999</v>
      </c>
      <c r="P12" s="70">
        <f t="shared" si="6"/>
        <v>13166.290247097601</v>
      </c>
      <c r="Q12" s="70">
        <f t="shared" si="7"/>
        <v>95455.604291457596</v>
      </c>
    </row>
    <row r="13" spans="1:17" ht="24" customHeight="1" x14ac:dyDescent="0.25">
      <c r="A13" s="27" t="s">
        <v>66</v>
      </c>
      <c r="B13" s="27" t="s">
        <v>67</v>
      </c>
      <c r="C13" s="27" t="s">
        <v>68</v>
      </c>
      <c r="D13" s="28">
        <v>100</v>
      </c>
      <c r="E13" s="28"/>
      <c r="F13" s="28">
        <v>1</v>
      </c>
      <c r="G13" s="70">
        <v>90000</v>
      </c>
      <c r="H13" s="70">
        <f t="shared" si="0"/>
        <v>14400</v>
      </c>
      <c r="I13" s="70">
        <f t="shared" si="1"/>
        <v>104400</v>
      </c>
      <c r="J13" s="28">
        <v>2</v>
      </c>
      <c r="K13" s="70">
        <f t="shared" si="2"/>
        <v>93294</v>
      </c>
      <c r="L13" s="70">
        <f t="shared" si="3"/>
        <v>14927.04</v>
      </c>
      <c r="M13" s="70">
        <f t="shared" si="4"/>
        <v>216442.08000000002</v>
      </c>
      <c r="N13" s="28">
        <v>1</v>
      </c>
      <c r="O13" s="70">
        <f t="shared" si="5"/>
        <v>96708.560400000002</v>
      </c>
      <c r="P13" s="70">
        <f t="shared" si="6"/>
        <v>15473.369664</v>
      </c>
      <c r="Q13" s="70">
        <f t="shared" si="7"/>
        <v>112181.930064</v>
      </c>
    </row>
    <row r="14" spans="1:17" ht="66" customHeight="1" x14ac:dyDescent="0.25">
      <c r="A14" s="27" t="s">
        <v>69</v>
      </c>
      <c r="B14" s="27" t="s">
        <v>70</v>
      </c>
      <c r="C14" s="27" t="s">
        <v>71</v>
      </c>
      <c r="D14" s="28">
        <v>74.92</v>
      </c>
      <c r="E14" s="28"/>
      <c r="F14" s="28">
        <v>1</v>
      </c>
      <c r="G14" s="70">
        <v>67428</v>
      </c>
      <c r="H14" s="70">
        <f t="shared" si="0"/>
        <v>10788.48</v>
      </c>
      <c r="I14" s="70">
        <f t="shared" si="1"/>
        <v>78216.479999999996</v>
      </c>
      <c r="J14" s="28">
        <v>2</v>
      </c>
      <c r="K14" s="70">
        <f t="shared" si="2"/>
        <v>69895.864799999996</v>
      </c>
      <c r="L14" s="70">
        <f t="shared" si="3"/>
        <v>11183.338367999999</v>
      </c>
      <c r="M14" s="70">
        <f t="shared" si="4"/>
        <v>162158.40633599999</v>
      </c>
      <c r="N14" s="28">
        <v>1</v>
      </c>
      <c r="O14" s="70">
        <f t="shared" si="5"/>
        <v>72454.053451679996</v>
      </c>
      <c r="P14" s="70">
        <f t="shared" si="6"/>
        <v>11592.6485522688</v>
      </c>
      <c r="Q14" s="70">
        <f t="shared" si="7"/>
        <v>84046.702003948798</v>
      </c>
    </row>
    <row r="15" spans="1:17" ht="84" x14ac:dyDescent="0.25">
      <c r="A15" s="27" t="s">
        <v>72</v>
      </c>
      <c r="B15" s="27" t="s">
        <v>73</v>
      </c>
      <c r="C15" s="27" t="s">
        <v>74</v>
      </c>
      <c r="D15" s="28">
        <v>100</v>
      </c>
      <c r="E15" s="28"/>
      <c r="F15" s="28">
        <v>1</v>
      </c>
      <c r="G15" s="70">
        <v>120000</v>
      </c>
      <c r="H15" s="70">
        <v>0</v>
      </c>
      <c r="I15" s="70">
        <f t="shared" si="1"/>
        <v>120000</v>
      </c>
      <c r="J15" s="28">
        <v>2</v>
      </c>
      <c r="K15" s="70">
        <f t="shared" si="2"/>
        <v>124392</v>
      </c>
      <c r="L15" s="70">
        <v>0</v>
      </c>
      <c r="M15" s="70">
        <f t="shared" si="4"/>
        <v>248784</v>
      </c>
      <c r="N15" s="28">
        <v>1</v>
      </c>
      <c r="O15" s="70">
        <f t="shared" si="5"/>
        <v>128944.7472</v>
      </c>
      <c r="P15" s="70">
        <v>0</v>
      </c>
      <c r="Q15" s="70">
        <f t="shared" si="7"/>
        <v>128944.7472</v>
      </c>
    </row>
    <row r="16" spans="1:17" ht="36" customHeight="1" x14ac:dyDescent="0.25">
      <c r="A16" s="27" t="s">
        <v>75</v>
      </c>
      <c r="B16" s="27" t="s">
        <v>76</v>
      </c>
      <c r="C16" s="27" t="s">
        <v>77</v>
      </c>
      <c r="D16" s="28">
        <v>165.45</v>
      </c>
      <c r="E16" s="28"/>
      <c r="F16" s="28">
        <v>1</v>
      </c>
      <c r="G16" s="70">
        <v>198540</v>
      </c>
      <c r="H16" s="70">
        <f t="shared" si="0"/>
        <v>31766.400000000001</v>
      </c>
      <c r="I16" s="70">
        <f t="shared" si="1"/>
        <v>230306.4</v>
      </c>
      <c r="J16" s="28">
        <v>2</v>
      </c>
      <c r="K16" s="70">
        <f t="shared" si="2"/>
        <v>205806.56400000001</v>
      </c>
      <c r="L16" s="70">
        <f t="shared" si="3"/>
        <v>32929.050240000004</v>
      </c>
      <c r="M16" s="70">
        <f t="shared" si="4"/>
        <v>477471.22848000005</v>
      </c>
      <c r="N16" s="28">
        <v>1</v>
      </c>
      <c r="O16" s="70">
        <f t="shared" si="5"/>
        <v>213339.08424240001</v>
      </c>
      <c r="P16" s="70">
        <f t="shared" si="6"/>
        <v>34134.253478784005</v>
      </c>
      <c r="Q16" s="70">
        <f t="shared" si="7"/>
        <v>247473.33772118401</v>
      </c>
    </row>
    <row r="17" spans="1:17" ht="60" customHeight="1" x14ac:dyDescent="0.25">
      <c r="A17" s="27" t="s">
        <v>75</v>
      </c>
      <c r="B17" s="27" t="s">
        <v>78</v>
      </c>
      <c r="C17" s="27" t="s">
        <v>79</v>
      </c>
      <c r="D17" s="28" t="s">
        <v>80</v>
      </c>
      <c r="E17" s="28"/>
      <c r="F17" s="28">
        <v>1</v>
      </c>
      <c r="G17" s="70">
        <v>40344</v>
      </c>
      <c r="H17" s="70">
        <f t="shared" si="0"/>
        <v>6455.04</v>
      </c>
      <c r="I17" s="70">
        <f t="shared" si="1"/>
        <v>46799.040000000001</v>
      </c>
      <c r="J17" s="28">
        <v>2</v>
      </c>
      <c r="K17" s="70">
        <f t="shared" si="2"/>
        <v>41820.590400000001</v>
      </c>
      <c r="L17" s="70">
        <f t="shared" si="3"/>
        <v>6691.2944640000005</v>
      </c>
      <c r="M17" s="70">
        <f t="shared" si="4"/>
        <v>97023.769727999999</v>
      </c>
      <c r="N17" s="28">
        <v>1</v>
      </c>
      <c r="O17" s="70">
        <f t="shared" si="5"/>
        <v>43351.224008639998</v>
      </c>
      <c r="P17" s="70">
        <f t="shared" si="6"/>
        <v>6936.1958413823995</v>
      </c>
      <c r="Q17" s="70">
        <f t="shared" si="7"/>
        <v>50287.419850022401</v>
      </c>
    </row>
    <row r="18" spans="1:17" ht="48" x14ac:dyDescent="0.25">
      <c r="A18" s="27" t="s">
        <v>81</v>
      </c>
      <c r="B18" s="27" t="s">
        <v>82</v>
      </c>
      <c r="C18" s="27" t="s">
        <v>83</v>
      </c>
      <c r="D18" s="28">
        <v>109.63</v>
      </c>
      <c r="E18" s="28"/>
      <c r="F18" s="28">
        <v>1</v>
      </c>
      <c r="G18" s="70">
        <v>131556</v>
      </c>
      <c r="H18" s="70">
        <f t="shared" si="0"/>
        <v>21048.959999999999</v>
      </c>
      <c r="I18" s="70">
        <f t="shared" si="1"/>
        <v>152604.96</v>
      </c>
      <c r="J18" s="28">
        <v>2</v>
      </c>
      <c r="K18" s="70">
        <f t="shared" si="2"/>
        <v>136370.94959999999</v>
      </c>
      <c r="L18" s="70">
        <f t="shared" si="3"/>
        <v>21819.351935999999</v>
      </c>
      <c r="M18" s="70">
        <f t="shared" si="4"/>
        <v>316380.60307199997</v>
      </c>
      <c r="N18" s="28">
        <v>1</v>
      </c>
      <c r="O18" s="70">
        <f t="shared" si="5"/>
        <v>141362.12635536</v>
      </c>
      <c r="P18" s="70">
        <f t="shared" si="6"/>
        <v>22617.940216857602</v>
      </c>
      <c r="Q18" s="70">
        <f t="shared" si="7"/>
        <v>163980.06657221759</v>
      </c>
    </row>
    <row r="19" spans="1:17" ht="24" x14ac:dyDescent="0.25">
      <c r="A19" s="27" t="s">
        <v>84</v>
      </c>
      <c r="B19" s="27" t="s">
        <v>85</v>
      </c>
      <c r="C19" s="27" t="s">
        <v>86</v>
      </c>
      <c r="D19" s="28">
        <v>472.02</v>
      </c>
      <c r="E19" s="28">
        <v>139.32</v>
      </c>
      <c r="F19" s="28">
        <v>1</v>
      </c>
      <c r="G19" s="70">
        <v>733608</v>
      </c>
      <c r="H19" s="70">
        <f t="shared" si="0"/>
        <v>117377.28</v>
      </c>
      <c r="I19" s="70">
        <f t="shared" si="1"/>
        <v>850985.28</v>
      </c>
      <c r="J19" s="28">
        <v>2</v>
      </c>
      <c r="K19" s="70">
        <f t="shared" si="2"/>
        <v>760458.05279999995</v>
      </c>
      <c r="L19" s="70">
        <f t="shared" si="3"/>
        <v>121673.28844799999</v>
      </c>
      <c r="M19" s="70">
        <f t="shared" si="4"/>
        <v>1764262.6824959998</v>
      </c>
      <c r="N19" s="28">
        <v>1</v>
      </c>
      <c r="O19" s="70">
        <f t="shared" si="5"/>
        <v>788290.81753248</v>
      </c>
      <c r="P19" s="70">
        <f t="shared" si="6"/>
        <v>126126.5308051968</v>
      </c>
      <c r="Q19" s="70">
        <f t="shared" si="7"/>
        <v>914417.34833767684</v>
      </c>
    </row>
    <row r="20" spans="1:17" ht="48" customHeight="1" x14ac:dyDescent="0.25">
      <c r="A20" s="27" t="s">
        <v>75</v>
      </c>
      <c r="B20" s="27" t="s">
        <v>87</v>
      </c>
      <c r="C20" s="27" t="s">
        <v>88</v>
      </c>
      <c r="D20" s="28">
        <v>123.56</v>
      </c>
      <c r="E20" s="28"/>
      <c r="F20" s="28">
        <v>1</v>
      </c>
      <c r="G20" s="70">
        <v>148272</v>
      </c>
      <c r="H20" s="70">
        <f t="shared" si="0"/>
        <v>23723.52</v>
      </c>
      <c r="I20" s="70">
        <f t="shared" si="1"/>
        <v>171995.51999999999</v>
      </c>
      <c r="J20" s="28">
        <v>2</v>
      </c>
      <c r="K20" s="70">
        <f t="shared" si="2"/>
        <v>153698.75520000001</v>
      </c>
      <c r="L20" s="70">
        <f t="shared" si="3"/>
        <v>24591.800832000004</v>
      </c>
      <c r="M20" s="70">
        <f t="shared" si="4"/>
        <v>356581.11206400004</v>
      </c>
      <c r="N20" s="28">
        <v>1</v>
      </c>
      <c r="O20" s="70">
        <f t="shared" si="5"/>
        <v>159324.12964032002</v>
      </c>
      <c r="P20" s="70">
        <f t="shared" si="6"/>
        <v>25491.860742451205</v>
      </c>
      <c r="Q20" s="70">
        <f t="shared" si="7"/>
        <v>184815.99038277124</v>
      </c>
    </row>
    <row r="21" spans="1:17" ht="60" customHeight="1" x14ac:dyDescent="0.25">
      <c r="A21" s="27" t="s">
        <v>89</v>
      </c>
      <c r="B21" s="27" t="s">
        <v>90</v>
      </c>
      <c r="C21" s="27" t="s">
        <v>91</v>
      </c>
      <c r="D21" s="28">
        <v>100</v>
      </c>
      <c r="E21" s="28"/>
      <c r="F21" s="28">
        <v>1</v>
      </c>
      <c r="G21" s="70">
        <v>90000</v>
      </c>
      <c r="H21" s="70">
        <f t="shared" si="0"/>
        <v>14400</v>
      </c>
      <c r="I21" s="70">
        <f t="shared" si="1"/>
        <v>104400</v>
      </c>
      <c r="J21" s="28">
        <v>2</v>
      </c>
      <c r="K21" s="70">
        <f t="shared" si="2"/>
        <v>93294</v>
      </c>
      <c r="L21" s="70">
        <f t="shared" si="3"/>
        <v>14927.04</v>
      </c>
      <c r="M21" s="70">
        <f t="shared" si="4"/>
        <v>216442.08000000002</v>
      </c>
      <c r="N21" s="28">
        <v>1</v>
      </c>
      <c r="O21" s="70">
        <f t="shared" si="5"/>
        <v>96708.560400000002</v>
      </c>
      <c r="P21" s="70">
        <f t="shared" si="6"/>
        <v>15473.369664</v>
      </c>
      <c r="Q21" s="70">
        <f t="shared" si="7"/>
        <v>112181.930064</v>
      </c>
    </row>
    <row r="22" spans="1:17" ht="36" customHeight="1" x14ac:dyDescent="0.25">
      <c r="A22" s="27" t="s">
        <v>92</v>
      </c>
      <c r="B22" s="27" t="s">
        <v>93</v>
      </c>
      <c r="C22" s="27" t="s">
        <v>94</v>
      </c>
      <c r="D22" s="28">
        <v>345.73</v>
      </c>
      <c r="E22" s="28"/>
      <c r="F22" s="28">
        <v>1</v>
      </c>
      <c r="G22" s="70">
        <v>311157</v>
      </c>
      <c r="H22" s="70">
        <f t="shared" si="0"/>
        <v>49785.120000000003</v>
      </c>
      <c r="I22" s="70">
        <f t="shared" si="1"/>
        <v>360942.12</v>
      </c>
      <c r="J22" s="28">
        <v>2</v>
      </c>
      <c r="K22" s="70">
        <f t="shared" si="2"/>
        <v>322545.34620000003</v>
      </c>
      <c r="L22" s="70">
        <f t="shared" si="3"/>
        <v>51607.255392000006</v>
      </c>
      <c r="M22" s="70">
        <f t="shared" si="4"/>
        <v>748305.2031840001</v>
      </c>
      <c r="N22" s="28">
        <v>1</v>
      </c>
      <c r="O22" s="70">
        <f t="shared" si="5"/>
        <v>334350.50587092002</v>
      </c>
      <c r="P22" s="70">
        <f t="shared" si="6"/>
        <v>53496.080939347208</v>
      </c>
      <c r="Q22" s="70">
        <f t="shared" si="7"/>
        <v>387846.58681026724</v>
      </c>
    </row>
    <row r="23" spans="1:17" ht="72" customHeight="1" x14ac:dyDescent="0.25">
      <c r="A23" s="27" t="s">
        <v>95</v>
      </c>
      <c r="B23" s="27" t="s">
        <v>96</v>
      </c>
      <c r="C23" s="27" t="s">
        <v>97</v>
      </c>
      <c r="D23" s="28">
        <v>106.5</v>
      </c>
      <c r="E23" s="28"/>
      <c r="F23" s="28">
        <v>1</v>
      </c>
      <c r="G23" s="70">
        <v>95850</v>
      </c>
      <c r="H23" s="70">
        <f t="shared" si="0"/>
        <v>15336</v>
      </c>
      <c r="I23" s="70">
        <f t="shared" si="1"/>
        <v>111186</v>
      </c>
      <c r="J23" s="28">
        <v>2</v>
      </c>
      <c r="K23" s="70">
        <f t="shared" si="2"/>
        <v>99358.11</v>
      </c>
      <c r="L23" s="70">
        <f t="shared" si="3"/>
        <v>15897.2976</v>
      </c>
      <c r="M23" s="70">
        <f t="shared" si="4"/>
        <v>230510.81520000001</v>
      </c>
      <c r="N23" s="28">
        <v>1</v>
      </c>
      <c r="O23" s="70">
        <f t="shared" si="5"/>
        <v>102994.616826</v>
      </c>
      <c r="P23" s="70">
        <f t="shared" si="6"/>
        <v>16479.138692159999</v>
      </c>
      <c r="Q23" s="70">
        <f t="shared" si="7"/>
        <v>119473.75551816</v>
      </c>
    </row>
    <row r="24" spans="1:17" ht="24" x14ac:dyDescent="0.25">
      <c r="A24" s="27" t="s">
        <v>98</v>
      </c>
      <c r="B24" s="27" t="s">
        <v>99</v>
      </c>
      <c r="C24" s="27" t="s">
        <v>100</v>
      </c>
      <c r="D24" s="28">
        <v>275.43</v>
      </c>
      <c r="E24" s="28"/>
      <c r="F24" s="28">
        <v>1</v>
      </c>
      <c r="G24" s="70">
        <v>247887</v>
      </c>
      <c r="H24" s="70">
        <f t="shared" si="0"/>
        <v>39661.919999999998</v>
      </c>
      <c r="I24" s="70">
        <f t="shared" si="1"/>
        <v>287548.92</v>
      </c>
      <c r="J24" s="28">
        <v>2</v>
      </c>
      <c r="K24" s="70">
        <f t="shared" si="2"/>
        <v>256959.6642</v>
      </c>
      <c r="L24" s="70">
        <f t="shared" si="3"/>
        <v>41113.546272</v>
      </c>
      <c r="M24" s="70">
        <f t="shared" si="4"/>
        <v>596146.42094400001</v>
      </c>
      <c r="N24" s="28">
        <v>1</v>
      </c>
      <c r="O24" s="70">
        <f t="shared" si="5"/>
        <v>266364.38790972001</v>
      </c>
      <c r="P24" s="70">
        <f t="shared" si="6"/>
        <v>42618.302065555203</v>
      </c>
      <c r="Q24" s="70">
        <f t="shared" si="7"/>
        <v>308982.68997527519</v>
      </c>
    </row>
    <row r="25" spans="1:17" ht="36" customHeight="1" x14ac:dyDescent="0.25">
      <c r="A25" s="27" t="s">
        <v>101</v>
      </c>
      <c r="B25" s="27" t="s">
        <v>102</v>
      </c>
      <c r="C25" s="27" t="s">
        <v>103</v>
      </c>
      <c r="D25" s="28">
        <v>100</v>
      </c>
      <c r="E25" s="28"/>
      <c r="F25" s="28">
        <v>1</v>
      </c>
      <c r="G25" s="70">
        <v>90000</v>
      </c>
      <c r="H25" s="70">
        <f t="shared" si="0"/>
        <v>14400</v>
      </c>
      <c r="I25" s="70">
        <f t="shared" si="1"/>
        <v>104400</v>
      </c>
      <c r="J25" s="28">
        <v>2</v>
      </c>
      <c r="K25" s="70">
        <f t="shared" si="2"/>
        <v>93294</v>
      </c>
      <c r="L25" s="70">
        <f t="shared" si="3"/>
        <v>14927.04</v>
      </c>
      <c r="M25" s="70">
        <f t="shared" si="4"/>
        <v>216442.08000000002</v>
      </c>
      <c r="N25" s="28">
        <v>1</v>
      </c>
      <c r="O25" s="70">
        <f t="shared" si="5"/>
        <v>96708.560400000002</v>
      </c>
      <c r="P25" s="70">
        <f t="shared" si="6"/>
        <v>15473.369664</v>
      </c>
      <c r="Q25" s="70">
        <f t="shared" si="7"/>
        <v>112181.930064</v>
      </c>
    </row>
    <row r="26" spans="1:17" ht="57" customHeight="1" x14ac:dyDescent="0.25">
      <c r="A26" s="27" t="s">
        <v>104</v>
      </c>
      <c r="B26" s="27" t="s">
        <v>105</v>
      </c>
      <c r="C26" s="27" t="s">
        <v>106</v>
      </c>
      <c r="D26" s="28">
        <v>110.2</v>
      </c>
      <c r="E26" s="28"/>
      <c r="F26" s="28">
        <v>1</v>
      </c>
      <c r="G26" s="70">
        <v>99180</v>
      </c>
      <c r="H26" s="70">
        <f t="shared" si="0"/>
        <v>15868.800000000001</v>
      </c>
      <c r="I26" s="70">
        <f t="shared" si="1"/>
        <v>115048.8</v>
      </c>
      <c r="J26" s="28">
        <v>2</v>
      </c>
      <c r="K26" s="70">
        <f t="shared" si="2"/>
        <v>102809.988</v>
      </c>
      <c r="L26" s="70">
        <f t="shared" si="3"/>
        <v>16449.59808</v>
      </c>
      <c r="M26" s="70">
        <f t="shared" si="4"/>
        <v>238519.17215999999</v>
      </c>
      <c r="N26" s="28">
        <v>1</v>
      </c>
      <c r="O26" s="70">
        <f t="shared" si="5"/>
        <v>106572.83356079999</v>
      </c>
      <c r="P26" s="70">
        <f t="shared" si="6"/>
        <v>17051.653369727999</v>
      </c>
      <c r="Q26" s="70">
        <f t="shared" si="7"/>
        <v>123624.48693052799</v>
      </c>
    </row>
    <row r="27" spans="1:17" ht="60" customHeight="1" x14ac:dyDescent="0.25">
      <c r="A27" s="27" t="s">
        <v>107</v>
      </c>
      <c r="B27" s="27" t="s">
        <v>108</v>
      </c>
      <c r="C27" s="27" t="s">
        <v>109</v>
      </c>
      <c r="D27" s="28">
        <v>270.63</v>
      </c>
      <c r="E27" s="28"/>
      <c r="F27" s="28">
        <v>1</v>
      </c>
      <c r="G27" s="70">
        <v>243567</v>
      </c>
      <c r="H27" s="70">
        <f t="shared" si="0"/>
        <v>38970.720000000001</v>
      </c>
      <c r="I27" s="70">
        <f t="shared" si="1"/>
        <v>282537.71999999997</v>
      </c>
      <c r="J27" s="28">
        <v>2</v>
      </c>
      <c r="K27" s="70">
        <f t="shared" si="2"/>
        <v>252481.55220000001</v>
      </c>
      <c r="L27" s="70">
        <f t="shared" si="3"/>
        <v>40397.048352000005</v>
      </c>
      <c r="M27" s="70">
        <f t="shared" si="4"/>
        <v>585757.20110399998</v>
      </c>
      <c r="N27" s="28">
        <v>1</v>
      </c>
      <c r="O27" s="70">
        <f t="shared" si="5"/>
        <v>261722.37701051999</v>
      </c>
      <c r="P27" s="70">
        <f t="shared" si="6"/>
        <v>41875.580321683199</v>
      </c>
      <c r="Q27" s="70">
        <f t="shared" si="7"/>
        <v>303597.95733220316</v>
      </c>
    </row>
    <row r="28" spans="1:17" ht="60" customHeight="1" x14ac:dyDescent="0.25">
      <c r="A28" s="27" t="s">
        <v>110</v>
      </c>
      <c r="B28" s="27" t="s">
        <v>111</v>
      </c>
      <c r="C28" s="27" t="s">
        <v>112</v>
      </c>
      <c r="D28" s="28">
        <v>157.72999999999999</v>
      </c>
      <c r="E28" s="28"/>
      <c r="F28" s="28">
        <v>1</v>
      </c>
      <c r="G28" s="70">
        <v>189276</v>
      </c>
      <c r="H28" s="70">
        <f t="shared" si="0"/>
        <v>30284.16</v>
      </c>
      <c r="I28" s="70">
        <f t="shared" si="1"/>
        <v>219560.16</v>
      </c>
      <c r="J28" s="28">
        <v>2</v>
      </c>
      <c r="K28" s="70">
        <f t="shared" si="2"/>
        <v>196203.50159999999</v>
      </c>
      <c r="L28" s="70">
        <f t="shared" si="3"/>
        <v>31392.560255999997</v>
      </c>
      <c r="M28" s="70">
        <f t="shared" si="4"/>
        <v>455192.12371199997</v>
      </c>
      <c r="N28" s="28">
        <v>1</v>
      </c>
      <c r="O28" s="70">
        <f t="shared" si="5"/>
        <v>203384.54975856</v>
      </c>
      <c r="P28" s="70">
        <f t="shared" si="6"/>
        <v>32541.5279613696</v>
      </c>
      <c r="Q28" s="70">
        <f t="shared" si="7"/>
        <v>235926.0777199296</v>
      </c>
    </row>
    <row r="29" spans="1:17" ht="48" customHeight="1" x14ac:dyDescent="0.25">
      <c r="A29" s="27" t="s">
        <v>113</v>
      </c>
      <c r="B29" s="27" t="s">
        <v>114</v>
      </c>
      <c r="C29" s="27" t="s">
        <v>115</v>
      </c>
      <c r="D29" s="28">
        <v>92.37</v>
      </c>
      <c r="E29" s="28"/>
      <c r="F29" s="28">
        <v>1</v>
      </c>
      <c r="G29" s="70">
        <v>110844</v>
      </c>
      <c r="H29" s="70">
        <f t="shared" si="0"/>
        <v>17735.04</v>
      </c>
      <c r="I29" s="70">
        <f t="shared" si="1"/>
        <v>128579.04000000001</v>
      </c>
      <c r="J29" s="28">
        <v>2</v>
      </c>
      <c r="K29" s="70">
        <f t="shared" si="2"/>
        <v>114900.8904</v>
      </c>
      <c r="L29" s="70">
        <f t="shared" si="3"/>
        <v>18384.142464</v>
      </c>
      <c r="M29" s="70">
        <f t="shared" si="4"/>
        <v>266570.06572800002</v>
      </c>
      <c r="N29" s="28">
        <v>1</v>
      </c>
      <c r="O29" s="70">
        <f t="shared" si="5"/>
        <v>119106.26298864001</v>
      </c>
      <c r="P29" s="70">
        <f t="shared" si="6"/>
        <v>19057.002078182402</v>
      </c>
      <c r="Q29" s="70">
        <f t="shared" si="7"/>
        <v>138163.26506682241</v>
      </c>
    </row>
    <row r="30" spans="1:17" ht="76.5" customHeight="1" x14ac:dyDescent="0.25">
      <c r="A30" s="27" t="s">
        <v>116</v>
      </c>
      <c r="B30" s="27" t="s">
        <v>117</v>
      </c>
      <c r="C30" s="27" t="s">
        <v>118</v>
      </c>
      <c r="D30" s="28">
        <v>18</v>
      </c>
      <c r="E30" s="28"/>
      <c r="F30" s="28">
        <v>1</v>
      </c>
      <c r="G30" s="70">
        <v>21600</v>
      </c>
      <c r="H30" s="70">
        <f t="shared" si="0"/>
        <v>3456</v>
      </c>
      <c r="I30" s="70">
        <f t="shared" si="1"/>
        <v>25056</v>
      </c>
      <c r="J30" s="28">
        <v>2</v>
      </c>
      <c r="K30" s="70">
        <f t="shared" si="2"/>
        <v>22390.560000000001</v>
      </c>
      <c r="L30" s="70">
        <f t="shared" si="3"/>
        <v>3582.4896000000003</v>
      </c>
      <c r="M30" s="70">
        <f t="shared" si="4"/>
        <v>51946.099200000004</v>
      </c>
      <c r="N30" s="28">
        <v>1</v>
      </c>
      <c r="O30" s="70">
        <f t="shared" si="5"/>
        <v>23210.054496000001</v>
      </c>
      <c r="P30" s="70">
        <f t="shared" si="6"/>
        <v>3713.6087193600001</v>
      </c>
      <c r="Q30" s="70">
        <f t="shared" si="7"/>
        <v>26923.66321536</v>
      </c>
    </row>
    <row r="31" spans="1:17" x14ac:dyDescent="0.25">
      <c r="A31" s="155" t="s">
        <v>119</v>
      </c>
      <c r="B31" s="155" t="s">
        <v>120</v>
      </c>
      <c r="C31" s="27" t="s">
        <v>121</v>
      </c>
      <c r="D31" s="29">
        <v>468.1</v>
      </c>
      <c r="E31" s="28"/>
      <c r="F31" s="151">
        <v>1</v>
      </c>
      <c r="G31" s="70">
        <v>374480</v>
      </c>
      <c r="H31" s="70">
        <f t="shared" si="0"/>
        <v>59916.800000000003</v>
      </c>
      <c r="I31" s="70">
        <f t="shared" ref="I31:I43" si="8">+G31+H31</f>
        <v>434396.8</v>
      </c>
      <c r="J31" s="151">
        <v>2</v>
      </c>
      <c r="K31" s="70">
        <f t="shared" si="2"/>
        <v>388185.96799999999</v>
      </c>
      <c r="L31" s="70">
        <f t="shared" si="3"/>
        <v>62109.75488</v>
      </c>
      <c r="M31" s="70">
        <f t="shared" si="4"/>
        <v>900591.44576000003</v>
      </c>
      <c r="N31" s="28">
        <v>1</v>
      </c>
      <c r="O31" s="70">
        <f t="shared" si="5"/>
        <v>402393.57442879997</v>
      </c>
      <c r="P31" s="70">
        <f t="shared" si="6"/>
        <v>64382.971908607993</v>
      </c>
      <c r="Q31" s="70">
        <f t="shared" si="7"/>
        <v>466776.54633740796</v>
      </c>
    </row>
    <row r="32" spans="1:17" ht="24" x14ac:dyDescent="0.25">
      <c r="A32" s="155"/>
      <c r="B32" s="155"/>
      <c r="C32" s="27" t="s">
        <v>122</v>
      </c>
      <c r="D32" s="29">
        <v>1472.59</v>
      </c>
      <c r="E32" s="28"/>
      <c r="F32" s="152"/>
      <c r="G32" s="70">
        <v>1178072</v>
      </c>
      <c r="H32" s="70">
        <f t="shared" si="0"/>
        <v>188491.51999999999</v>
      </c>
      <c r="I32" s="70">
        <f t="shared" si="8"/>
        <v>1366563.52</v>
      </c>
      <c r="J32" s="152"/>
      <c r="K32" s="70">
        <f t="shared" si="2"/>
        <v>1221189.4351999999</v>
      </c>
      <c r="L32" s="70">
        <f t="shared" si="3"/>
        <v>195390.30963199999</v>
      </c>
      <c r="M32" s="70">
        <f t="shared" si="4"/>
        <v>2833159.489664</v>
      </c>
      <c r="N32" s="28">
        <v>1</v>
      </c>
      <c r="O32" s="70">
        <f t="shared" si="5"/>
        <v>1265884.9685283198</v>
      </c>
      <c r="P32" s="70">
        <f t="shared" si="6"/>
        <v>202541.59496453119</v>
      </c>
      <c r="Q32" s="70">
        <f t="shared" si="7"/>
        <v>1468426.5634928511</v>
      </c>
    </row>
    <row r="33" spans="1:17" x14ac:dyDescent="0.25">
      <c r="A33" s="155"/>
      <c r="B33" s="155"/>
      <c r="C33" s="27" t="s">
        <v>123</v>
      </c>
      <c r="D33" s="29"/>
      <c r="E33" s="28">
        <v>675.82</v>
      </c>
      <c r="F33" s="152"/>
      <c r="G33" s="70">
        <v>540656</v>
      </c>
      <c r="H33" s="70">
        <f t="shared" si="0"/>
        <v>86504.960000000006</v>
      </c>
      <c r="I33" s="70">
        <f t="shared" si="8"/>
        <v>627160.96</v>
      </c>
      <c r="J33" s="152"/>
      <c r="K33" s="70">
        <f t="shared" si="2"/>
        <v>560444.00959999999</v>
      </c>
      <c r="L33" s="70">
        <f t="shared" si="3"/>
        <v>89671.041536000004</v>
      </c>
      <c r="M33" s="70">
        <f t="shared" si="4"/>
        <v>1300230.1022719999</v>
      </c>
      <c r="N33" s="28">
        <v>1</v>
      </c>
      <c r="O33" s="70">
        <f t="shared" si="5"/>
        <v>580956.26035135996</v>
      </c>
      <c r="P33" s="70">
        <f t="shared" si="6"/>
        <v>92953.001656217602</v>
      </c>
      <c r="Q33" s="70">
        <f t="shared" si="7"/>
        <v>673909.26200757758</v>
      </c>
    </row>
    <row r="34" spans="1:17" x14ac:dyDescent="0.25">
      <c r="A34" s="155"/>
      <c r="B34" s="155"/>
      <c r="C34" s="27" t="s">
        <v>124</v>
      </c>
      <c r="D34" s="29">
        <v>211.02</v>
      </c>
      <c r="E34" s="28"/>
      <c r="F34" s="152"/>
      <c r="G34" s="70">
        <v>168816</v>
      </c>
      <c r="H34" s="70">
        <f t="shared" si="0"/>
        <v>27010.560000000001</v>
      </c>
      <c r="I34" s="70">
        <f t="shared" si="8"/>
        <v>195826.56</v>
      </c>
      <c r="J34" s="152"/>
      <c r="K34" s="70">
        <f t="shared" si="2"/>
        <v>174994.66560000001</v>
      </c>
      <c r="L34" s="70">
        <f t="shared" si="3"/>
        <v>27999.146496000001</v>
      </c>
      <c r="M34" s="70">
        <f t="shared" si="4"/>
        <v>405987.62419200002</v>
      </c>
      <c r="N34" s="28">
        <v>1</v>
      </c>
      <c r="O34" s="70">
        <f t="shared" si="5"/>
        <v>181399.47036096</v>
      </c>
      <c r="P34" s="70">
        <f t="shared" si="6"/>
        <v>29023.915257753601</v>
      </c>
      <c r="Q34" s="70">
        <f t="shared" si="7"/>
        <v>210423.3856187136</v>
      </c>
    </row>
    <row r="35" spans="1:17" x14ac:dyDescent="0.25">
      <c r="A35" s="155"/>
      <c r="B35" s="155"/>
      <c r="C35" s="27" t="s">
        <v>125</v>
      </c>
      <c r="D35" s="29">
        <v>573.64</v>
      </c>
      <c r="E35" s="28"/>
      <c r="F35" s="152"/>
      <c r="G35" s="70">
        <v>458912</v>
      </c>
      <c r="H35" s="70">
        <f t="shared" si="0"/>
        <v>73425.919999999998</v>
      </c>
      <c r="I35" s="70">
        <f t="shared" si="8"/>
        <v>532337.92000000004</v>
      </c>
      <c r="J35" s="152"/>
      <c r="K35" s="70">
        <f t="shared" si="2"/>
        <v>475708.17920000001</v>
      </c>
      <c r="L35" s="70">
        <f t="shared" si="3"/>
        <v>76113.308671999999</v>
      </c>
      <c r="M35" s="70">
        <f t="shared" si="4"/>
        <v>1103642.9757439999</v>
      </c>
      <c r="N35" s="28">
        <v>1</v>
      </c>
      <c r="O35" s="70">
        <f t="shared" si="5"/>
        <v>493119.09855872003</v>
      </c>
      <c r="P35" s="70">
        <f t="shared" si="6"/>
        <v>78899.0557693952</v>
      </c>
      <c r="Q35" s="70">
        <f t="shared" si="7"/>
        <v>572018.15432811528</v>
      </c>
    </row>
    <row r="36" spans="1:17" x14ac:dyDescent="0.25">
      <c r="A36" s="155"/>
      <c r="B36" s="155"/>
      <c r="C36" s="27" t="s">
        <v>126</v>
      </c>
      <c r="D36" s="29">
        <v>549.02</v>
      </c>
      <c r="E36" s="28"/>
      <c r="F36" s="152"/>
      <c r="G36" s="70">
        <v>439216</v>
      </c>
      <c r="H36" s="70">
        <f t="shared" si="0"/>
        <v>70274.559999999998</v>
      </c>
      <c r="I36" s="70">
        <f t="shared" si="8"/>
        <v>509490.56</v>
      </c>
      <c r="J36" s="152"/>
      <c r="K36" s="70">
        <f t="shared" si="2"/>
        <v>455291.30560000002</v>
      </c>
      <c r="L36" s="70">
        <f t="shared" si="3"/>
        <v>72846.608896000005</v>
      </c>
      <c r="M36" s="70">
        <f t="shared" si="4"/>
        <v>1056275.8289920001</v>
      </c>
      <c r="N36" s="28">
        <v>1</v>
      </c>
      <c r="O36" s="70">
        <f t="shared" si="5"/>
        <v>471954.96738496004</v>
      </c>
      <c r="P36" s="70">
        <f t="shared" si="6"/>
        <v>75512.794781593606</v>
      </c>
      <c r="Q36" s="70">
        <f t="shared" si="7"/>
        <v>547467.76216655364</v>
      </c>
    </row>
    <row r="37" spans="1:17" x14ac:dyDescent="0.25">
      <c r="A37" s="155"/>
      <c r="B37" s="155"/>
      <c r="C37" s="27" t="s">
        <v>127</v>
      </c>
      <c r="D37" s="29">
        <v>549.02</v>
      </c>
      <c r="E37" s="28"/>
      <c r="F37" s="152"/>
      <c r="G37" s="70">
        <v>439216</v>
      </c>
      <c r="H37" s="70">
        <f t="shared" si="0"/>
        <v>70274.559999999998</v>
      </c>
      <c r="I37" s="70">
        <f t="shared" si="8"/>
        <v>509490.56</v>
      </c>
      <c r="J37" s="152"/>
      <c r="K37" s="70">
        <f t="shared" si="2"/>
        <v>455291.30560000002</v>
      </c>
      <c r="L37" s="70">
        <f t="shared" si="3"/>
        <v>72846.608896000005</v>
      </c>
      <c r="M37" s="70">
        <f t="shared" si="4"/>
        <v>1056275.8289920001</v>
      </c>
      <c r="N37" s="28">
        <v>1</v>
      </c>
      <c r="O37" s="70">
        <f t="shared" si="5"/>
        <v>471954.96738496004</v>
      </c>
      <c r="P37" s="70">
        <f t="shared" si="6"/>
        <v>75512.794781593606</v>
      </c>
      <c r="Q37" s="70">
        <f t="shared" si="7"/>
        <v>547467.76216655364</v>
      </c>
    </row>
    <row r="38" spans="1:17" x14ac:dyDescent="0.25">
      <c r="A38" s="155"/>
      <c r="B38" s="155"/>
      <c r="C38" s="27" t="s">
        <v>128</v>
      </c>
      <c r="D38" s="29">
        <v>549.02</v>
      </c>
      <c r="E38" s="28"/>
      <c r="F38" s="152"/>
      <c r="G38" s="70">
        <v>439216</v>
      </c>
      <c r="H38" s="70">
        <f t="shared" si="0"/>
        <v>70274.559999999998</v>
      </c>
      <c r="I38" s="70">
        <f t="shared" si="8"/>
        <v>509490.56</v>
      </c>
      <c r="J38" s="152"/>
      <c r="K38" s="70">
        <f t="shared" si="2"/>
        <v>455291.30560000002</v>
      </c>
      <c r="L38" s="70">
        <f t="shared" si="3"/>
        <v>72846.608896000005</v>
      </c>
      <c r="M38" s="70">
        <f t="shared" si="4"/>
        <v>1056275.8289920001</v>
      </c>
      <c r="N38" s="28">
        <v>1</v>
      </c>
      <c r="O38" s="70">
        <f t="shared" si="5"/>
        <v>471954.96738496004</v>
      </c>
      <c r="P38" s="70">
        <f t="shared" si="6"/>
        <v>75512.794781593606</v>
      </c>
      <c r="Q38" s="70">
        <f t="shared" si="7"/>
        <v>547467.76216655364</v>
      </c>
    </row>
    <row r="39" spans="1:17" x14ac:dyDescent="0.25">
      <c r="A39" s="155"/>
      <c r="B39" s="155"/>
      <c r="C39" s="27" t="s">
        <v>129</v>
      </c>
      <c r="D39" s="29">
        <v>549.02</v>
      </c>
      <c r="E39" s="28"/>
      <c r="F39" s="152"/>
      <c r="G39" s="70">
        <v>439216</v>
      </c>
      <c r="H39" s="70">
        <f t="shared" si="0"/>
        <v>70274.559999999998</v>
      </c>
      <c r="I39" s="70">
        <f t="shared" si="8"/>
        <v>509490.56</v>
      </c>
      <c r="J39" s="152"/>
      <c r="K39" s="70">
        <f t="shared" si="2"/>
        <v>455291.30560000002</v>
      </c>
      <c r="L39" s="70">
        <f t="shared" si="3"/>
        <v>72846.608896000005</v>
      </c>
      <c r="M39" s="70">
        <f t="shared" si="4"/>
        <v>1056275.8289920001</v>
      </c>
      <c r="N39" s="28">
        <v>1</v>
      </c>
      <c r="O39" s="70">
        <f t="shared" si="5"/>
        <v>471954.96738496004</v>
      </c>
      <c r="P39" s="70">
        <f t="shared" si="6"/>
        <v>75512.794781593606</v>
      </c>
      <c r="Q39" s="70">
        <f t="shared" si="7"/>
        <v>547467.76216655364</v>
      </c>
    </row>
    <row r="40" spans="1:17" x14ac:dyDescent="0.25">
      <c r="A40" s="155"/>
      <c r="B40" s="155"/>
      <c r="C40" s="27" t="s">
        <v>130</v>
      </c>
      <c r="D40" s="29">
        <v>549.02</v>
      </c>
      <c r="E40" s="28"/>
      <c r="F40" s="152"/>
      <c r="G40" s="70">
        <v>439216</v>
      </c>
      <c r="H40" s="70">
        <f t="shared" si="0"/>
        <v>70274.559999999998</v>
      </c>
      <c r="I40" s="70">
        <f t="shared" si="8"/>
        <v>509490.56</v>
      </c>
      <c r="J40" s="152"/>
      <c r="K40" s="70">
        <f t="shared" si="2"/>
        <v>455291.30560000002</v>
      </c>
      <c r="L40" s="70">
        <f t="shared" si="3"/>
        <v>72846.608896000005</v>
      </c>
      <c r="M40" s="70">
        <f t="shared" si="4"/>
        <v>1056275.8289920001</v>
      </c>
      <c r="N40" s="28">
        <v>1</v>
      </c>
      <c r="O40" s="70">
        <f t="shared" si="5"/>
        <v>471954.96738496004</v>
      </c>
      <c r="P40" s="70">
        <f t="shared" si="6"/>
        <v>75512.794781593606</v>
      </c>
      <c r="Q40" s="70">
        <f t="shared" si="7"/>
        <v>547467.76216655364</v>
      </c>
    </row>
    <row r="41" spans="1:17" x14ac:dyDescent="0.25">
      <c r="A41" s="155"/>
      <c r="B41" s="155"/>
      <c r="C41" s="27" t="s">
        <v>131</v>
      </c>
      <c r="D41" s="29">
        <v>549.02</v>
      </c>
      <c r="E41" s="28"/>
      <c r="F41" s="152"/>
      <c r="G41" s="70">
        <v>439216</v>
      </c>
      <c r="H41" s="70">
        <f t="shared" si="0"/>
        <v>70274.559999999998</v>
      </c>
      <c r="I41" s="70">
        <f t="shared" si="8"/>
        <v>509490.56</v>
      </c>
      <c r="J41" s="152"/>
      <c r="K41" s="70">
        <f t="shared" si="2"/>
        <v>455291.30560000002</v>
      </c>
      <c r="L41" s="70">
        <f t="shared" si="3"/>
        <v>72846.608896000005</v>
      </c>
      <c r="M41" s="70">
        <f t="shared" si="4"/>
        <v>1056275.8289920001</v>
      </c>
      <c r="N41" s="28">
        <v>1</v>
      </c>
      <c r="O41" s="70">
        <f t="shared" si="5"/>
        <v>471954.96738496004</v>
      </c>
      <c r="P41" s="70">
        <f t="shared" si="6"/>
        <v>75512.794781593606</v>
      </c>
      <c r="Q41" s="70">
        <f t="shared" si="7"/>
        <v>547467.76216655364</v>
      </c>
    </row>
    <row r="42" spans="1:17" ht="24" x14ac:dyDescent="0.25">
      <c r="A42" s="155"/>
      <c r="B42" s="155"/>
      <c r="C42" s="27" t="s">
        <v>132</v>
      </c>
      <c r="D42" s="29">
        <v>292.3</v>
      </c>
      <c r="E42" s="28"/>
      <c r="F42" s="152"/>
      <c r="G42" s="70">
        <v>233840</v>
      </c>
      <c r="H42" s="70">
        <f t="shared" si="0"/>
        <v>37414.400000000001</v>
      </c>
      <c r="I42" s="70">
        <f t="shared" si="8"/>
        <v>271254.40000000002</v>
      </c>
      <c r="J42" s="152"/>
      <c r="K42" s="70">
        <f t="shared" si="2"/>
        <v>242398.54399999999</v>
      </c>
      <c r="L42" s="70">
        <f t="shared" si="3"/>
        <v>38783.767039999999</v>
      </c>
      <c r="M42" s="70">
        <f t="shared" si="4"/>
        <v>562364.62208</v>
      </c>
      <c r="N42" s="28">
        <v>1</v>
      </c>
      <c r="O42" s="70">
        <f t="shared" si="5"/>
        <v>251270.33071039998</v>
      </c>
      <c r="P42" s="70">
        <f t="shared" si="6"/>
        <v>40203.252913664001</v>
      </c>
      <c r="Q42" s="70">
        <f t="shared" si="7"/>
        <v>291473.58362406399</v>
      </c>
    </row>
    <row r="43" spans="1:17" x14ac:dyDescent="0.25">
      <c r="A43" s="155"/>
      <c r="B43" s="155"/>
      <c r="C43" s="27" t="s">
        <v>133</v>
      </c>
      <c r="D43" s="28"/>
      <c r="E43" s="29">
        <v>256.72000000000003</v>
      </c>
      <c r="F43" s="153"/>
      <c r="G43" s="70">
        <v>205376</v>
      </c>
      <c r="H43" s="70">
        <f t="shared" si="0"/>
        <v>32860.160000000003</v>
      </c>
      <c r="I43" s="70">
        <f t="shared" si="8"/>
        <v>238236.16</v>
      </c>
      <c r="J43" s="153"/>
      <c r="K43" s="70">
        <f t="shared" si="2"/>
        <v>212892.7616</v>
      </c>
      <c r="L43" s="70">
        <f t="shared" si="3"/>
        <v>34062.841855999999</v>
      </c>
      <c r="M43" s="70">
        <f t="shared" si="4"/>
        <v>493911.20691199997</v>
      </c>
      <c r="N43" s="28">
        <v>1</v>
      </c>
      <c r="O43" s="70">
        <f t="shared" si="5"/>
        <v>220684.63667456</v>
      </c>
      <c r="P43" s="70">
        <f t="shared" si="6"/>
        <v>35309.541867929598</v>
      </c>
      <c r="Q43" s="70">
        <f t="shared" si="7"/>
        <v>255994.17854248959</v>
      </c>
    </row>
    <row r="44" spans="1:17" ht="72.75" customHeight="1" x14ac:dyDescent="0.25">
      <c r="A44" s="31"/>
      <c r="B44" s="32"/>
      <c r="C44" s="32"/>
      <c r="D44" s="33"/>
      <c r="E44" s="33"/>
      <c r="F44" s="34"/>
      <c r="G44" s="156" t="s">
        <v>31</v>
      </c>
      <c r="H44" s="156"/>
      <c r="I44" s="71">
        <f>SUM(I4:I43)</f>
        <v>11290107.48</v>
      </c>
      <c r="J44" s="35"/>
      <c r="K44" s="156" t="s">
        <v>138</v>
      </c>
      <c r="L44" s="156"/>
      <c r="M44" s="75">
        <f>SUM(M4:M43)</f>
        <v>23406650.827536006</v>
      </c>
      <c r="N44" s="35"/>
      <c r="O44" s="157" t="s">
        <v>146</v>
      </c>
      <c r="P44" s="157"/>
      <c r="Q44" s="76">
        <f>SUM(Q4:Q43)</f>
        <v>12131667.123911912</v>
      </c>
    </row>
    <row r="45" spans="1:17" ht="12.75" customHeight="1" x14ac:dyDescent="0.25">
      <c r="A45" s="21"/>
      <c r="B45" s="21"/>
      <c r="C45" s="21"/>
      <c r="D45" s="20"/>
      <c r="E45" s="20"/>
      <c r="F45" s="24"/>
      <c r="G45" s="72"/>
      <c r="Q45" s="36"/>
    </row>
    <row r="46" spans="1:17" ht="72.75" customHeight="1" x14ac:dyDescent="0.25">
      <c r="A46" s="22"/>
      <c r="B46" s="22"/>
      <c r="C46" s="22"/>
      <c r="D46" s="23"/>
      <c r="E46" s="23"/>
      <c r="F46" s="22"/>
      <c r="G46" s="160" t="s">
        <v>192</v>
      </c>
      <c r="H46" s="161"/>
      <c r="I46" s="161"/>
      <c r="J46" s="162"/>
      <c r="K46" s="143">
        <f>+Q44+I44+M44</f>
        <v>46828425.431447923</v>
      </c>
      <c r="L46" s="144"/>
      <c r="M46" s="144"/>
      <c r="N46" s="144"/>
      <c r="O46" s="144"/>
      <c r="P46" s="144"/>
      <c r="Q46" s="145"/>
    </row>
    <row r="47" spans="1:17" ht="6.75" customHeight="1" x14ac:dyDescent="0.25">
      <c r="A47" s="22"/>
      <c r="B47" s="22"/>
      <c r="C47" s="22"/>
      <c r="D47" s="23"/>
      <c r="E47" s="23"/>
      <c r="F47" s="22"/>
      <c r="G47" s="158"/>
      <c r="H47" s="158"/>
      <c r="I47" s="74"/>
    </row>
    <row r="48" spans="1:17" ht="15" customHeight="1" x14ac:dyDescent="0.25">
      <c r="A48" s="108" t="s">
        <v>179</v>
      </c>
      <c r="B48" s="108"/>
      <c r="C48" s="108"/>
      <c r="D48" s="108"/>
      <c r="E48" s="108"/>
      <c r="F48" s="108"/>
      <c r="G48" s="108"/>
      <c r="H48" s="108"/>
      <c r="I48" s="108"/>
      <c r="J48" s="108"/>
      <c r="K48" s="108"/>
      <c r="L48" s="108"/>
      <c r="M48" s="108"/>
      <c r="N48" s="108"/>
      <c r="O48" s="108"/>
      <c r="P48" s="108"/>
      <c r="Q48" s="108"/>
    </row>
    <row r="49" spans="1:17" x14ac:dyDescent="0.25">
      <c r="A49" s="108"/>
      <c r="B49" s="108"/>
      <c r="C49" s="108"/>
      <c r="D49" s="108"/>
      <c r="E49" s="108"/>
      <c r="F49" s="108"/>
      <c r="G49" s="108"/>
      <c r="H49" s="108"/>
      <c r="I49" s="108"/>
      <c r="J49" s="108"/>
      <c r="K49" s="108"/>
      <c r="L49" s="108"/>
      <c r="M49" s="108"/>
      <c r="N49" s="108"/>
      <c r="O49" s="108"/>
      <c r="P49" s="108"/>
      <c r="Q49" s="108"/>
    </row>
    <row r="50" spans="1:17" ht="5.25" customHeight="1" x14ac:dyDescent="0.25">
      <c r="A50" s="1"/>
      <c r="B50" s="1"/>
      <c r="C50" s="1"/>
      <c r="D50" s="1"/>
      <c r="E50" s="1"/>
      <c r="F50" s="1"/>
      <c r="G50" s="61"/>
      <c r="H50" s="61"/>
    </row>
    <row r="51" spans="1:17" ht="81" x14ac:dyDescent="0.25">
      <c r="A51" s="46" t="s">
        <v>180</v>
      </c>
      <c r="B51" s="109" t="s">
        <v>181</v>
      </c>
      <c r="C51" s="109"/>
      <c r="D51" s="109"/>
      <c r="E51" s="109"/>
      <c r="F51" s="109"/>
      <c r="G51" s="109"/>
      <c r="H51" s="62" t="s">
        <v>182</v>
      </c>
    </row>
    <row r="52" spans="1:17" x14ac:dyDescent="0.25">
      <c r="A52" s="48"/>
      <c r="B52" s="110"/>
      <c r="C52" s="110"/>
      <c r="D52" s="110"/>
      <c r="E52" s="110"/>
      <c r="F52" s="110"/>
      <c r="G52" s="110"/>
      <c r="H52" s="60"/>
    </row>
    <row r="54" spans="1:17" ht="31.5" customHeight="1" x14ac:dyDescent="0.25">
      <c r="A54" s="111" t="s">
        <v>184</v>
      </c>
      <c r="B54" s="111"/>
      <c r="C54" s="111"/>
      <c r="D54" s="111"/>
      <c r="E54" s="111"/>
      <c r="F54" s="111"/>
      <c r="G54" s="111"/>
      <c r="H54" s="111"/>
      <c r="I54" s="111"/>
      <c r="J54" s="111"/>
      <c r="K54" s="111"/>
      <c r="L54" s="111"/>
      <c r="M54" s="111"/>
      <c r="N54" s="111"/>
      <c r="O54" s="111"/>
      <c r="P54" s="111"/>
      <c r="Q54" s="111"/>
    </row>
    <row r="55" spans="1:17" ht="16.5" customHeight="1" x14ac:dyDescent="0.25">
      <c r="A55" s="90"/>
      <c r="B55" s="90"/>
      <c r="C55" s="90"/>
      <c r="D55" s="90"/>
      <c r="E55" s="90"/>
      <c r="F55" s="90"/>
      <c r="G55" s="90"/>
      <c r="H55" s="90"/>
      <c r="I55" s="90"/>
      <c r="J55" s="90"/>
      <c r="K55" s="90"/>
      <c r="L55" s="90"/>
      <c r="M55" s="90"/>
      <c r="N55" s="90"/>
      <c r="O55" s="90"/>
      <c r="P55" s="90"/>
      <c r="Q55" s="90"/>
    </row>
    <row r="56" spans="1:17" ht="124.5" customHeight="1" x14ac:dyDescent="0.25">
      <c r="A56" s="147" t="s">
        <v>232</v>
      </c>
      <c r="B56" s="147"/>
      <c r="C56" s="147"/>
      <c r="D56" s="147"/>
      <c r="E56" s="147"/>
      <c r="F56" s="147"/>
      <c r="G56" s="147"/>
      <c r="H56" s="147"/>
      <c r="I56" s="147"/>
      <c r="J56" s="147"/>
      <c r="K56" s="147"/>
      <c r="L56" s="147"/>
      <c r="M56" s="147"/>
      <c r="N56" s="147"/>
      <c r="O56" s="147"/>
      <c r="P56" s="147"/>
      <c r="Q56" s="147"/>
    </row>
    <row r="57" spans="1:17" x14ac:dyDescent="0.25">
      <c r="A57" s="146" t="s">
        <v>225</v>
      </c>
      <c r="B57" s="144"/>
      <c r="C57" s="144"/>
      <c r="D57" s="144"/>
      <c r="E57" s="144"/>
      <c r="F57" s="144"/>
      <c r="G57" s="144"/>
      <c r="H57" s="144"/>
      <c r="I57" s="144"/>
      <c r="J57" s="144"/>
      <c r="K57" s="144"/>
      <c r="L57" s="144"/>
      <c r="M57" s="144"/>
      <c r="N57" s="144"/>
      <c r="O57" s="144"/>
      <c r="P57" s="144"/>
      <c r="Q57" s="145"/>
    </row>
  </sheetData>
  <mergeCells count="21">
    <mergeCell ref="A57:Q57"/>
    <mergeCell ref="A56:Q56"/>
    <mergeCell ref="A1:E1"/>
    <mergeCell ref="J31:J43"/>
    <mergeCell ref="F31:F43"/>
    <mergeCell ref="A2:C2"/>
    <mergeCell ref="A31:A43"/>
    <mergeCell ref="B31:B43"/>
    <mergeCell ref="G44:H44"/>
    <mergeCell ref="K44:L44"/>
    <mergeCell ref="O44:P44"/>
    <mergeCell ref="G47:H47"/>
    <mergeCell ref="F1:I1"/>
    <mergeCell ref="G46:J46"/>
    <mergeCell ref="J1:M1"/>
    <mergeCell ref="N1:Q1"/>
    <mergeCell ref="A54:Q54"/>
    <mergeCell ref="K46:Q46"/>
    <mergeCell ref="B51:G51"/>
    <mergeCell ref="B52:G52"/>
    <mergeCell ref="A48:Q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topLeftCell="A37" workbookViewId="0">
      <selection activeCell="A38" sqref="A38:Q38"/>
    </sheetView>
  </sheetViews>
  <sheetFormatPr baseColWidth="10" defaultRowHeight="16.5" x14ac:dyDescent="0.3"/>
  <cols>
    <col min="1" max="1" width="35" style="37" customWidth="1"/>
    <col min="2" max="2" width="11.42578125" style="37"/>
    <col min="3" max="5" width="11.42578125" style="84"/>
    <col min="6" max="6" width="11.42578125" style="37"/>
    <col min="7" max="9" width="11.42578125" style="84"/>
    <col min="10" max="10" width="11.42578125" style="37"/>
    <col min="11" max="13" width="11.42578125" style="84"/>
    <col min="14" max="14" width="11.42578125" style="37"/>
    <col min="15" max="17" width="11.42578125" style="84"/>
    <col min="18" max="18" width="11.42578125" style="37"/>
    <col min="19" max="21" width="11.42578125" style="84"/>
    <col min="22" max="22" width="11.42578125" style="37"/>
    <col min="23" max="25" width="11.42578125" style="84"/>
    <col min="26" max="26" width="11.42578125" style="37"/>
    <col min="27" max="29" width="11.42578125" style="84"/>
    <col min="30" max="16384" width="11.42578125" style="37"/>
  </cols>
  <sheetData>
    <row r="1" spans="1:30" ht="48" customHeight="1" x14ac:dyDescent="0.3">
      <c r="A1" s="167" t="s">
        <v>29</v>
      </c>
      <c r="B1" s="168" t="s">
        <v>147</v>
      </c>
      <c r="C1" s="168"/>
      <c r="D1" s="168"/>
      <c r="E1" s="168"/>
      <c r="F1" s="168" t="s">
        <v>148</v>
      </c>
      <c r="G1" s="168"/>
      <c r="H1" s="168"/>
      <c r="I1" s="168"/>
      <c r="J1" s="168" t="s">
        <v>149</v>
      </c>
      <c r="K1" s="168"/>
      <c r="L1" s="168"/>
      <c r="M1" s="168"/>
      <c r="N1" s="168" t="s">
        <v>150</v>
      </c>
      <c r="O1" s="168"/>
      <c r="P1" s="168"/>
      <c r="Q1" s="168"/>
      <c r="R1" s="168" t="s">
        <v>151</v>
      </c>
      <c r="S1" s="168"/>
      <c r="T1" s="168"/>
      <c r="U1" s="168"/>
      <c r="V1" s="168" t="s">
        <v>226</v>
      </c>
      <c r="W1" s="168"/>
      <c r="X1" s="168"/>
      <c r="Y1" s="168"/>
      <c r="Z1" s="164" t="s">
        <v>227</v>
      </c>
      <c r="AA1" s="165"/>
      <c r="AB1" s="165"/>
      <c r="AC1" s="166"/>
    </row>
    <row r="2" spans="1:30" ht="45" x14ac:dyDescent="0.3">
      <c r="A2" s="167"/>
      <c r="B2" s="97" t="s">
        <v>8</v>
      </c>
      <c r="C2" s="77" t="s">
        <v>30</v>
      </c>
      <c r="D2" s="77" t="s">
        <v>194</v>
      </c>
      <c r="E2" s="77" t="s">
        <v>178</v>
      </c>
      <c r="F2" s="97" t="s">
        <v>8</v>
      </c>
      <c r="G2" s="77" t="s">
        <v>30</v>
      </c>
      <c r="H2" s="77" t="s">
        <v>194</v>
      </c>
      <c r="I2" s="77" t="s">
        <v>198</v>
      </c>
      <c r="J2" s="97" t="s">
        <v>8</v>
      </c>
      <c r="K2" s="77" t="s">
        <v>30</v>
      </c>
      <c r="L2" s="77" t="s">
        <v>194</v>
      </c>
      <c r="M2" s="77" t="s">
        <v>198</v>
      </c>
      <c r="N2" s="97" t="s">
        <v>8</v>
      </c>
      <c r="O2" s="77" t="s">
        <v>30</v>
      </c>
      <c r="P2" s="77" t="s">
        <v>194</v>
      </c>
      <c r="Q2" s="77" t="s">
        <v>198</v>
      </c>
      <c r="R2" s="97" t="s">
        <v>8</v>
      </c>
      <c r="S2" s="77" t="s">
        <v>30</v>
      </c>
      <c r="T2" s="77" t="s">
        <v>194</v>
      </c>
      <c r="U2" s="77" t="s">
        <v>198</v>
      </c>
      <c r="V2" s="97" t="s">
        <v>8</v>
      </c>
      <c r="W2" s="77" t="s">
        <v>30</v>
      </c>
      <c r="X2" s="77" t="s">
        <v>194</v>
      </c>
      <c r="Y2" s="77" t="s">
        <v>198</v>
      </c>
      <c r="Z2" s="97" t="s">
        <v>8</v>
      </c>
      <c r="AA2" s="77" t="s">
        <v>30</v>
      </c>
      <c r="AB2" s="77" t="s">
        <v>194</v>
      </c>
      <c r="AC2" s="77" t="s">
        <v>198</v>
      </c>
    </row>
    <row r="3" spans="1:30" x14ac:dyDescent="0.3">
      <c r="A3" s="100" t="s">
        <v>152</v>
      </c>
      <c r="B3" s="40">
        <v>1</v>
      </c>
      <c r="C3" s="78">
        <v>23833</v>
      </c>
      <c r="D3" s="78">
        <f t="shared" ref="D3:D20" si="0">+C3*0.16</f>
        <v>3813.28</v>
      </c>
      <c r="E3" s="78">
        <f>+(C3+D3)*B3</f>
        <v>27646.28</v>
      </c>
      <c r="F3" s="41" t="s">
        <v>153</v>
      </c>
      <c r="G3" s="78"/>
      <c r="H3" s="78"/>
      <c r="I3" s="78"/>
      <c r="J3" s="41" t="s">
        <v>153</v>
      </c>
      <c r="K3" s="78"/>
      <c r="L3" s="78"/>
      <c r="M3" s="78"/>
      <c r="N3" s="41" t="s">
        <v>153</v>
      </c>
      <c r="O3" s="78"/>
      <c r="P3" s="78"/>
      <c r="Q3" s="78"/>
      <c r="R3" s="41" t="s">
        <v>153</v>
      </c>
      <c r="S3" s="78"/>
      <c r="T3" s="78"/>
      <c r="U3" s="78"/>
      <c r="V3" s="41" t="s">
        <v>153</v>
      </c>
      <c r="W3" s="78"/>
      <c r="X3" s="78"/>
      <c r="Y3" s="78"/>
      <c r="Z3" s="41" t="s">
        <v>153</v>
      </c>
      <c r="AA3" s="78"/>
      <c r="AB3" s="78"/>
      <c r="AC3" s="78"/>
    </row>
    <row r="4" spans="1:30" ht="67.5" x14ac:dyDescent="0.3">
      <c r="A4" s="100" t="s">
        <v>154</v>
      </c>
      <c r="B4" s="41">
        <v>2</v>
      </c>
      <c r="C4" s="79">
        <v>8250</v>
      </c>
      <c r="D4" s="78">
        <f t="shared" si="0"/>
        <v>1320</v>
      </c>
      <c r="E4" s="78">
        <f>+(C4+D4)*B4</f>
        <v>19140</v>
      </c>
      <c r="F4" s="41" t="s">
        <v>153</v>
      </c>
      <c r="G4" s="79"/>
      <c r="H4" s="78"/>
      <c r="I4" s="78"/>
      <c r="J4" s="41" t="s">
        <v>153</v>
      </c>
      <c r="K4" s="79"/>
      <c r="L4" s="79"/>
      <c r="M4" s="78"/>
      <c r="N4" s="41" t="s">
        <v>153</v>
      </c>
      <c r="O4" s="79"/>
      <c r="P4" s="79"/>
      <c r="Q4" s="78"/>
      <c r="R4" s="41" t="s">
        <v>153</v>
      </c>
      <c r="S4" s="79"/>
      <c r="T4" s="79"/>
      <c r="U4" s="78"/>
      <c r="V4" s="41" t="s">
        <v>153</v>
      </c>
      <c r="W4" s="79"/>
      <c r="X4" s="79"/>
      <c r="Y4" s="78"/>
      <c r="Z4" s="41" t="s">
        <v>153</v>
      </c>
      <c r="AA4" s="79"/>
      <c r="AB4" s="79"/>
      <c r="AC4" s="78"/>
    </row>
    <row r="5" spans="1:30" ht="54" x14ac:dyDescent="0.3">
      <c r="A5" s="100" t="s">
        <v>155</v>
      </c>
      <c r="B5" s="41" t="s">
        <v>156</v>
      </c>
      <c r="C5" s="79">
        <v>2521</v>
      </c>
      <c r="D5" s="78">
        <f t="shared" si="0"/>
        <v>403.36</v>
      </c>
      <c r="E5" s="78">
        <f>+(C5+D5)*2</f>
        <v>5848.72</v>
      </c>
      <c r="F5" s="41" t="s">
        <v>153</v>
      </c>
      <c r="G5" s="79"/>
      <c r="H5" s="78"/>
      <c r="I5" s="78"/>
      <c r="J5" s="41" t="s">
        <v>153</v>
      </c>
      <c r="K5" s="79"/>
      <c r="L5" s="79"/>
      <c r="M5" s="78"/>
      <c r="N5" s="41" t="s">
        <v>153</v>
      </c>
      <c r="O5" s="79"/>
      <c r="P5" s="79"/>
      <c r="Q5" s="78"/>
      <c r="R5" s="41" t="s">
        <v>153</v>
      </c>
      <c r="S5" s="79"/>
      <c r="T5" s="79"/>
      <c r="U5" s="78"/>
      <c r="V5" s="41" t="s">
        <v>153</v>
      </c>
      <c r="W5" s="79"/>
      <c r="X5" s="79"/>
      <c r="Y5" s="78"/>
      <c r="Z5" s="41" t="s">
        <v>153</v>
      </c>
      <c r="AA5" s="79"/>
      <c r="AB5" s="79"/>
      <c r="AC5" s="78"/>
    </row>
    <row r="6" spans="1:30" ht="27" x14ac:dyDescent="0.3">
      <c r="A6" s="100" t="s">
        <v>157</v>
      </c>
      <c r="B6" s="40">
        <v>6</v>
      </c>
      <c r="C6" s="78">
        <v>20625</v>
      </c>
      <c r="D6" s="78">
        <f t="shared" si="0"/>
        <v>3300</v>
      </c>
      <c r="E6" s="78">
        <f t="shared" ref="E6:E20" si="1">+(C6+D6)*B6</f>
        <v>143550</v>
      </c>
      <c r="F6" s="41">
        <v>1</v>
      </c>
      <c r="G6" s="78">
        <v>20625</v>
      </c>
      <c r="H6" s="78">
        <f>+G6*0.16</f>
        <v>3300</v>
      </c>
      <c r="I6" s="78">
        <f>+(G6+H6)*F6</f>
        <v>23925</v>
      </c>
      <c r="J6" s="41">
        <v>1</v>
      </c>
      <c r="K6" s="78">
        <v>20625</v>
      </c>
      <c r="L6" s="78">
        <f>+K6*0.16</f>
        <v>3300</v>
      </c>
      <c r="M6" s="78">
        <f>+(K6+L6)*J6</f>
        <v>23925</v>
      </c>
      <c r="N6" s="41">
        <v>1</v>
      </c>
      <c r="O6" s="78">
        <v>20625</v>
      </c>
      <c r="P6" s="78">
        <f>+O6*0.16</f>
        <v>3300</v>
      </c>
      <c r="Q6" s="78">
        <f>+(O6+P6)*N6</f>
        <v>23925</v>
      </c>
      <c r="R6" s="41">
        <v>1</v>
      </c>
      <c r="S6" s="78">
        <v>20625</v>
      </c>
      <c r="T6" s="78">
        <f>+S6*0.16</f>
        <v>3300</v>
      </c>
      <c r="U6" s="78">
        <f>+(S6+T6)*R6</f>
        <v>23925</v>
      </c>
      <c r="V6" s="41">
        <v>1</v>
      </c>
      <c r="W6" s="78">
        <v>20625</v>
      </c>
      <c r="X6" s="78">
        <v>0</v>
      </c>
      <c r="Y6" s="78">
        <f>+((W6+X6)*V6)*2</f>
        <v>41250</v>
      </c>
      <c r="Z6" s="41" t="s">
        <v>158</v>
      </c>
      <c r="AA6" s="78">
        <v>20625</v>
      </c>
      <c r="AB6" s="78">
        <f>+AA6*0.16</f>
        <v>3300</v>
      </c>
      <c r="AC6" s="78">
        <f>+(AA6+AB6)*22</f>
        <v>526350</v>
      </c>
    </row>
    <row r="7" spans="1:30" x14ac:dyDescent="0.3">
      <c r="A7" s="100" t="s">
        <v>159</v>
      </c>
      <c r="B7" s="40">
        <v>15</v>
      </c>
      <c r="C7" s="78">
        <v>413</v>
      </c>
      <c r="D7" s="78">
        <f t="shared" si="0"/>
        <v>66.08</v>
      </c>
      <c r="E7" s="78">
        <f t="shared" si="1"/>
        <v>7186.2</v>
      </c>
      <c r="F7" s="41">
        <v>2</v>
      </c>
      <c r="G7" s="78">
        <v>413</v>
      </c>
      <c r="H7" s="78">
        <f>+G7*0.16</f>
        <v>66.08</v>
      </c>
      <c r="I7" s="78">
        <f>+(G7+H7)*F7</f>
        <v>958.16</v>
      </c>
      <c r="J7" s="41">
        <v>2</v>
      </c>
      <c r="K7" s="78">
        <v>413</v>
      </c>
      <c r="L7" s="78">
        <f>+K7*0.16</f>
        <v>66.08</v>
      </c>
      <c r="M7" s="78">
        <f>+(K7+L7)*J7</f>
        <v>958.16</v>
      </c>
      <c r="N7" s="41">
        <v>2</v>
      </c>
      <c r="O7" s="78">
        <v>413</v>
      </c>
      <c r="P7" s="78">
        <f>+O7*0.16</f>
        <v>66.08</v>
      </c>
      <c r="Q7" s="78">
        <f>+(O7+P7)*N7</f>
        <v>958.16</v>
      </c>
      <c r="R7" s="41">
        <v>2</v>
      </c>
      <c r="S7" s="78">
        <v>413</v>
      </c>
      <c r="T7" s="78">
        <f>+S7*0.16</f>
        <v>66.08</v>
      </c>
      <c r="U7" s="78">
        <f>+(S7+T7)*R7</f>
        <v>958.16</v>
      </c>
      <c r="V7" s="41">
        <v>2</v>
      </c>
      <c r="W7" s="78">
        <v>413</v>
      </c>
      <c r="X7" s="78">
        <v>0</v>
      </c>
      <c r="Y7" s="78">
        <f>+((W7+X7)*V7)*2</f>
        <v>1652</v>
      </c>
      <c r="Z7" s="41" t="s">
        <v>160</v>
      </c>
      <c r="AA7" s="78">
        <v>413</v>
      </c>
      <c r="AB7" s="78">
        <f>+AA7*0.16</f>
        <v>66.08</v>
      </c>
      <c r="AC7" s="78">
        <f>+((AA7+AB7)*22)*2</f>
        <v>21079.52</v>
      </c>
      <c r="AD7" s="88"/>
    </row>
    <row r="8" spans="1:30" x14ac:dyDescent="0.3">
      <c r="A8" s="100" t="s">
        <v>161</v>
      </c>
      <c r="B8" s="40">
        <v>60</v>
      </c>
      <c r="C8" s="78">
        <v>3208</v>
      </c>
      <c r="D8" s="78">
        <f t="shared" si="0"/>
        <v>513.28</v>
      </c>
      <c r="E8" s="78">
        <f t="shared" si="1"/>
        <v>223276.79999999999</v>
      </c>
      <c r="F8" s="41" t="s">
        <v>153</v>
      </c>
      <c r="G8" s="78"/>
      <c r="H8" s="78">
        <f>+G8*0.16</f>
        <v>0</v>
      </c>
      <c r="I8" s="78">
        <f>+(G8+H8)</f>
        <v>0</v>
      </c>
      <c r="J8" s="41" t="s">
        <v>153</v>
      </c>
      <c r="K8" s="78"/>
      <c r="L8" s="78"/>
      <c r="M8" s="78"/>
      <c r="N8" s="41" t="s">
        <v>153</v>
      </c>
      <c r="O8" s="78"/>
      <c r="P8" s="78"/>
      <c r="Q8" s="78"/>
      <c r="R8" s="41" t="s">
        <v>153</v>
      </c>
      <c r="S8" s="78"/>
      <c r="T8" s="78"/>
      <c r="U8" s="78"/>
      <c r="V8" s="41" t="s">
        <v>153</v>
      </c>
      <c r="W8" s="78"/>
      <c r="X8" s="78"/>
      <c r="Y8" s="78"/>
      <c r="Z8" s="41" t="s">
        <v>153</v>
      </c>
      <c r="AA8" s="78"/>
      <c r="AB8" s="78"/>
      <c r="AC8" s="78"/>
    </row>
    <row r="9" spans="1:30" x14ac:dyDescent="0.3">
      <c r="A9" s="100" t="s">
        <v>162</v>
      </c>
      <c r="B9" s="40">
        <v>9</v>
      </c>
      <c r="C9" s="78">
        <v>6875</v>
      </c>
      <c r="D9" s="78">
        <f t="shared" si="0"/>
        <v>1100</v>
      </c>
      <c r="E9" s="78">
        <f t="shared" si="1"/>
        <v>71775</v>
      </c>
      <c r="F9" s="41">
        <v>1</v>
      </c>
      <c r="G9" s="78">
        <v>6875</v>
      </c>
      <c r="H9" s="78">
        <f>+G9*0.16</f>
        <v>1100</v>
      </c>
      <c r="I9" s="78">
        <f>+(G9+H9)*F9</f>
        <v>7975</v>
      </c>
      <c r="J9" s="41">
        <v>1</v>
      </c>
      <c r="K9" s="78">
        <v>6875</v>
      </c>
      <c r="L9" s="78">
        <f>+K9*0.16</f>
        <v>1100</v>
      </c>
      <c r="M9" s="78">
        <f>+(K9+L9)*J9</f>
        <v>7975</v>
      </c>
      <c r="N9" s="41">
        <v>1</v>
      </c>
      <c r="O9" s="78">
        <v>6875</v>
      </c>
      <c r="P9" s="78">
        <f>+O9*0.16</f>
        <v>1100</v>
      </c>
      <c r="Q9" s="78">
        <f>+(O9+P9)*N9</f>
        <v>7975</v>
      </c>
      <c r="R9" s="41">
        <v>1</v>
      </c>
      <c r="S9" s="78">
        <v>6875</v>
      </c>
      <c r="T9" s="78">
        <f>+S9*0.16</f>
        <v>1100</v>
      </c>
      <c r="U9" s="78">
        <f>+(S9+T9)*R9</f>
        <v>7975</v>
      </c>
      <c r="V9" s="41" t="s">
        <v>163</v>
      </c>
      <c r="W9" s="78"/>
      <c r="X9" s="78"/>
      <c r="Y9" s="78"/>
      <c r="Z9" s="41" t="s">
        <v>163</v>
      </c>
      <c r="AA9" s="78"/>
      <c r="AB9" s="78"/>
      <c r="AC9" s="78"/>
    </row>
    <row r="10" spans="1:30" x14ac:dyDescent="0.3">
      <c r="A10" s="100" t="s">
        <v>164</v>
      </c>
      <c r="B10" s="40">
        <v>8</v>
      </c>
      <c r="C10" s="78">
        <v>50417</v>
      </c>
      <c r="D10" s="78">
        <f t="shared" si="0"/>
        <v>8066.72</v>
      </c>
      <c r="E10" s="78">
        <f t="shared" si="1"/>
        <v>467869.76</v>
      </c>
      <c r="F10" s="41">
        <v>1</v>
      </c>
      <c r="G10" s="78">
        <v>50417</v>
      </c>
      <c r="H10" s="78">
        <f>+G10*0.16</f>
        <v>8066.72</v>
      </c>
      <c r="I10" s="78">
        <f>+(G10+H10)*F10</f>
        <v>58483.72</v>
      </c>
      <c r="J10" s="41">
        <v>1</v>
      </c>
      <c r="K10" s="78">
        <v>50417</v>
      </c>
      <c r="L10" s="78">
        <f>+K10*0.16</f>
        <v>8066.72</v>
      </c>
      <c r="M10" s="78">
        <f>+(K10+L10)*J10</f>
        <v>58483.72</v>
      </c>
      <c r="N10" s="41" t="s">
        <v>153</v>
      </c>
      <c r="O10" s="78"/>
      <c r="P10" s="78"/>
      <c r="Q10" s="78"/>
      <c r="R10" s="41">
        <v>1</v>
      </c>
      <c r="S10" s="78">
        <v>0</v>
      </c>
      <c r="T10" s="78">
        <f>+S10*0.16</f>
        <v>0</v>
      </c>
      <c r="U10" s="78">
        <f>+(S10+T10)*R10</f>
        <v>0</v>
      </c>
      <c r="V10" s="41" t="s">
        <v>163</v>
      </c>
      <c r="W10" s="78"/>
      <c r="X10" s="78"/>
      <c r="Y10" s="78"/>
      <c r="Z10" s="41" t="s">
        <v>163</v>
      </c>
      <c r="AA10" s="78"/>
      <c r="AB10" s="78"/>
      <c r="AC10" s="78"/>
    </row>
    <row r="11" spans="1:30" x14ac:dyDescent="0.3">
      <c r="A11" s="100" t="s">
        <v>165</v>
      </c>
      <c r="B11" s="40">
        <v>8</v>
      </c>
      <c r="C11" s="78">
        <v>12833</v>
      </c>
      <c r="D11" s="78">
        <f t="shared" si="0"/>
        <v>2053.2800000000002</v>
      </c>
      <c r="E11" s="78">
        <f t="shared" si="1"/>
        <v>119090.24000000001</v>
      </c>
      <c r="F11" s="41" t="s">
        <v>153</v>
      </c>
      <c r="G11" s="78"/>
      <c r="H11" s="78"/>
      <c r="I11" s="78"/>
      <c r="J11" s="41" t="s">
        <v>153</v>
      </c>
      <c r="K11" s="78"/>
      <c r="L11" s="78"/>
      <c r="M11" s="78"/>
      <c r="N11" s="41" t="s">
        <v>153</v>
      </c>
      <c r="O11" s="78"/>
      <c r="P11" s="78"/>
      <c r="Q11" s="78"/>
      <c r="R11" s="41" t="s">
        <v>153</v>
      </c>
      <c r="S11" s="78"/>
      <c r="T11" s="78"/>
      <c r="U11" s="78"/>
      <c r="V11" s="41" t="s">
        <v>153</v>
      </c>
      <c r="W11" s="78"/>
      <c r="X11" s="78"/>
      <c r="Y11" s="78"/>
      <c r="Z11" s="41" t="s">
        <v>153</v>
      </c>
      <c r="AA11" s="78"/>
      <c r="AB11" s="78"/>
      <c r="AC11" s="78"/>
    </row>
    <row r="12" spans="1:30" x14ac:dyDescent="0.3">
      <c r="A12" s="100" t="s">
        <v>166</v>
      </c>
      <c r="B12" s="40">
        <v>1</v>
      </c>
      <c r="C12" s="78">
        <v>6096</v>
      </c>
      <c r="D12" s="78">
        <f t="shared" si="0"/>
        <v>975.36</v>
      </c>
      <c r="E12" s="78">
        <f t="shared" si="1"/>
        <v>7071.36</v>
      </c>
      <c r="F12" s="41" t="s">
        <v>153</v>
      </c>
      <c r="G12" s="78"/>
      <c r="H12" s="78"/>
      <c r="I12" s="78"/>
      <c r="J12" s="41" t="s">
        <v>153</v>
      </c>
      <c r="K12" s="78"/>
      <c r="L12" s="78"/>
      <c r="M12" s="78"/>
      <c r="N12" s="41" t="s">
        <v>153</v>
      </c>
      <c r="O12" s="78"/>
      <c r="P12" s="78"/>
      <c r="Q12" s="78"/>
      <c r="R12" s="41" t="s">
        <v>153</v>
      </c>
      <c r="S12" s="78"/>
      <c r="T12" s="78"/>
      <c r="U12" s="78"/>
      <c r="V12" s="41" t="s">
        <v>153</v>
      </c>
      <c r="W12" s="78"/>
      <c r="X12" s="78"/>
      <c r="Y12" s="78"/>
      <c r="Z12" s="41" t="s">
        <v>153</v>
      </c>
      <c r="AA12" s="78"/>
      <c r="AB12" s="78"/>
      <c r="AC12" s="78"/>
    </row>
    <row r="13" spans="1:30" x14ac:dyDescent="0.3">
      <c r="A13" s="100" t="s">
        <v>167</v>
      </c>
      <c r="B13" s="40">
        <v>1</v>
      </c>
      <c r="C13" s="78">
        <v>2796</v>
      </c>
      <c r="D13" s="78">
        <f t="shared" si="0"/>
        <v>447.36</v>
      </c>
      <c r="E13" s="78">
        <f t="shared" si="1"/>
        <v>3243.36</v>
      </c>
      <c r="F13" s="41" t="s">
        <v>153</v>
      </c>
      <c r="G13" s="78"/>
      <c r="H13" s="78"/>
      <c r="I13" s="78"/>
      <c r="J13" s="41" t="s">
        <v>153</v>
      </c>
      <c r="K13" s="78"/>
      <c r="L13" s="78"/>
      <c r="M13" s="78"/>
      <c r="N13" s="41" t="s">
        <v>153</v>
      </c>
      <c r="O13" s="78"/>
      <c r="P13" s="78"/>
      <c r="Q13" s="78"/>
      <c r="R13" s="41" t="s">
        <v>153</v>
      </c>
      <c r="S13" s="78"/>
      <c r="T13" s="78"/>
      <c r="U13" s="78"/>
      <c r="V13" s="41" t="s">
        <v>153</v>
      </c>
      <c r="W13" s="78"/>
      <c r="X13" s="78"/>
      <c r="Y13" s="78"/>
      <c r="Z13" s="41" t="s">
        <v>153</v>
      </c>
      <c r="AA13" s="78"/>
      <c r="AB13" s="78"/>
      <c r="AC13" s="78"/>
    </row>
    <row r="14" spans="1:30" ht="27" x14ac:dyDescent="0.3">
      <c r="A14" s="100" t="s">
        <v>168</v>
      </c>
      <c r="B14" s="40">
        <v>2</v>
      </c>
      <c r="C14" s="78">
        <v>6875</v>
      </c>
      <c r="D14" s="78">
        <f t="shared" si="0"/>
        <v>1100</v>
      </c>
      <c r="E14" s="78">
        <f t="shared" si="1"/>
        <v>15950</v>
      </c>
      <c r="F14" s="41" t="s">
        <v>153</v>
      </c>
      <c r="G14" s="78"/>
      <c r="H14" s="78"/>
      <c r="I14" s="78"/>
      <c r="J14" s="41" t="s">
        <v>153</v>
      </c>
      <c r="K14" s="78"/>
      <c r="L14" s="78"/>
      <c r="M14" s="78"/>
      <c r="N14" s="41" t="s">
        <v>153</v>
      </c>
      <c r="O14" s="78"/>
      <c r="P14" s="78"/>
      <c r="Q14" s="78"/>
      <c r="R14" s="41" t="s">
        <v>153</v>
      </c>
      <c r="S14" s="78"/>
      <c r="T14" s="78"/>
      <c r="U14" s="78"/>
      <c r="V14" s="41" t="s">
        <v>153</v>
      </c>
      <c r="W14" s="78"/>
      <c r="X14" s="78"/>
      <c r="Y14" s="78"/>
      <c r="Z14" s="41" t="s">
        <v>153</v>
      </c>
      <c r="AA14" s="78"/>
      <c r="AB14" s="78"/>
      <c r="AC14" s="78"/>
    </row>
    <row r="15" spans="1:30" ht="40.5" x14ac:dyDescent="0.3">
      <c r="A15" s="100" t="s">
        <v>169</v>
      </c>
      <c r="B15" s="40">
        <v>1</v>
      </c>
      <c r="C15" s="78">
        <v>77917</v>
      </c>
      <c r="D15" s="78">
        <f t="shared" si="0"/>
        <v>12466.720000000001</v>
      </c>
      <c r="E15" s="78">
        <f t="shared" si="1"/>
        <v>90383.72</v>
      </c>
      <c r="F15" s="41" t="s">
        <v>153</v>
      </c>
      <c r="G15" s="78"/>
      <c r="H15" s="78"/>
      <c r="I15" s="78"/>
      <c r="J15" s="41" t="s">
        <v>153</v>
      </c>
      <c r="K15" s="78"/>
      <c r="L15" s="78"/>
      <c r="M15" s="78"/>
      <c r="N15" s="41" t="s">
        <v>153</v>
      </c>
      <c r="O15" s="78"/>
      <c r="P15" s="78"/>
      <c r="Q15" s="78"/>
      <c r="R15" s="41" t="s">
        <v>153</v>
      </c>
      <c r="S15" s="78"/>
      <c r="T15" s="78"/>
      <c r="U15" s="78"/>
      <c r="V15" s="41" t="s">
        <v>153</v>
      </c>
      <c r="W15" s="78"/>
      <c r="X15" s="78"/>
      <c r="Y15" s="78"/>
      <c r="Z15" s="41" t="s">
        <v>153</v>
      </c>
      <c r="AA15" s="78"/>
      <c r="AB15" s="78"/>
      <c r="AC15" s="78"/>
    </row>
    <row r="16" spans="1:30" x14ac:dyDescent="0.3">
      <c r="A16" s="100" t="s">
        <v>170</v>
      </c>
      <c r="B16" s="40">
        <v>2</v>
      </c>
      <c r="C16" s="78">
        <v>7104</v>
      </c>
      <c r="D16" s="78">
        <f t="shared" si="0"/>
        <v>1136.6400000000001</v>
      </c>
      <c r="E16" s="78">
        <f t="shared" si="1"/>
        <v>16481.28</v>
      </c>
      <c r="F16" s="41">
        <v>1</v>
      </c>
      <c r="G16" s="78">
        <v>7104</v>
      </c>
      <c r="H16" s="78">
        <f>+G16*0.16</f>
        <v>1136.6400000000001</v>
      </c>
      <c r="I16" s="78">
        <f>+(G16+H16)*F16</f>
        <v>8240.64</v>
      </c>
      <c r="J16" s="41">
        <v>1</v>
      </c>
      <c r="K16" s="78">
        <v>7104</v>
      </c>
      <c r="L16" s="78">
        <f>+K16*0.16</f>
        <v>1136.6400000000001</v>
      </c>
      <c r="M16" s="78">
        <f>+(K16+L16)*J16</f>
        <v>8240.64</v>
      </c>
      <c r="N16" s="41">
        <v>1</v>
      </c>
      <c r="O16" s="78">
        <v>7104</v>
      </c>
      <c r="P16" s="78">
        <f>+O16*0.16</f>
        <v>1136.6400000000001</v>
      </c>
      <c r="Q16" s="78">
        <f>+(O16+P16)*N16</f>
        <v>8240.64</v>
      </c>
      <c r="R16" s="41">
        <v>1</v>
      </c>
      <c r="S16" s="78">
        <v>7104</v>
      </c>
      <c r="T16" s="78">
        <f>+S16*0.16</f>
        <v>1136.6400000000001</v>
      </c>
      <c r="U16" s="78">
        <f>+(S16+T16)*R16</f>
        <v>8240.64</v>
      </c>
      <c r="V16" s="41">
        <v>1</v>
      </c>
      <c r="W16" s="78">
        <v>7104</v>
      </c>
      <c r="X16" s="78">
        <v>0</v>
      </c>
      <c r="Y16" s="78">
        <f>+((W16+X16)*V16)*2</f>
        <v>14208</v>
      </c>
      <c r="Z16" s="41" t="s">
        <v>158</v>
      </c>
      <c r="AA16" s="78">
        <v>7104</v>
      </c>
      <c r="AB16" s="78">
        <f>+AA16*0.16</f>
        <v>1136.6400000000001</v>
      </c>
      <c r="AC16" s="78">
        <f>+(AA16+AB16)*22</f>
        <v>181294.07999999999</v>
      </c>
    </row>
    <row r="17" spans="1:29" x14ac:dyDescent="0.3">
      <c r="A17" s="100" t="s">
        <v>171</v>
      </c>
      <c r="B17" s="40">
        <v>1</v>
      </c>
      <c r="C17" s="78">
        <v>59583</v>
      </c>
      <c r="D17" s="78">
        <f t="shared" si="0"/>
        <v>9533.2800000000007</v>
      </c>
      <c r="E17" s="78">
        <f t="shared" si="1"/>
        <v>69116.28</v>
      </c>
      <c r="F17" s="41" t="s">
        <v>153</v>
      </c>
      <c r="G17" s="78"/>
      <c r="H17" s="78"/>
      <c r="I17" s="78"/>
      <c r="J17" s="41" t="s">
        <v>153</v>
      </c>
      <c r="K17" s="78"/>
      <c r="L17" s="78"/>
      <c r="M17" s="78"/>
      <c r="N17" s="41" t="s">
        <v>153</v>
      </c>
      <c r="O17" s="78"/>
      <c r="P17" s="78"/>
      <c r="Q17" s="78"/>
      <c r="R17" s="41" t="s">
        <v>153</v>
      </c>
      <c r="S17" s="78"/>
      <c r="T17" s="78"/>
      <c r="U17" s="78"/>
      <c r="V17" s="41" t="s">
        <v>153</v>
      </c>
      <c r="W17" s="78"/>
      <c r="X17" s="78"/>
      <c r="Y17" s="78"/>
      <c r="Z17" s="41" t="s">
        <v>153</v>
      </c>
      <c r="AA17" s="78"/>
      <c r="AB17" s="78"/>
      <c r="AC17" s="78"/>
    </row>
    <row r="18" spans="1:29" x14ac:dyDescent="0.3">
      <c r="A18" s="100" t="s">
        <v>172</v>
      </c>
      <c r="B18" s="40">
        <v>1</v>
      </c>
      <c r="C18" s="78">
        <v>61875</v>
      </c>
      <c r="D18" s="78">
        <f t="shared" si="0"/>
        <v>9900</v>
      </c>
      <c r="E18" s="78">
        <f t="shared" si="1"/>
        <v>71775</v>
      </c>
      <c r="F18" s="41" t="s">
        <v>153</v>
      </c>
      <c r="G18" s="78"/>
      <c r="H18" s="78"/>
      <c r="I18" s="78"/>
      <c r="J18" s="41" t="s">
        <v>153</v>
      </c>
      <c r="K18" s="78"/>
      <c r="L18" s="78"/>
      <c r="M18" s="78"/>
      <c r="N18" s="41" t="s">
        <v>153</v>
      </c>
      <c r="O18" s="78"/>
      <c r="P18" s="78"/>
      <c r="Q18" s="78"/>
      <c r="R18" s="41" t="s">
        <v>153</v>
      </c>
      <c r="S18" s="78"/>
      <c r="T18" s="78"/>
      <c r="U18" s="78"/>
      <c r="V18" s="41" t="s">
        <v>153</v>
      </c>
      <c r="W18" s="78"/>
      <c r="X18" s="78"/>
      <c r="Y18" s="78"/>
      <c r="Z18" s="41" t="s">
        <v>153</v>
      </c>
      <c r="AA18" s="78"/>
      <c r="AB18" s="78"/>
      <c r="AC18" s="78"/>
    </row>
    <row r="19" spans="1:29" x14ac:dyDescent="0.3">
      <c r="A19" s="100" t="s">
        <v>173</v>
      </c>
      <c r="B19" s="40">
        <v>9</v>
      </c>
      <c r="C19" s="78">
        <v>825</v>
      </c>
      <c r="D19" s="78">
        <f t="shared" si="0"/>
        <v>132</v>
      </c>
      <c r="E19" s="78">
        <f t="shared" si="1"/>
        <v>8613</v>
      </c>
      <c r="F19" s="41">
        <v>1</v>
      </c>
      <c r="G19" s="78">
        <v>825</v>
      </c>
      <c r="H19" s="78">
        <f>+G19*0.16</f>
        <v>132</v>
      </c>
      <c r="I19" s="78">
        <f>+(G19+H19)*F19</f>
        <v>957</v>
      </c>
      <c r="J19" s="41">
        <v>1</v>
      </c>
      <c r="K19" s="78">
        <v>825</v>
      </c>
      <c r="L19" s="78">
        <f>+K19*0.16</f>
        <v>132</v>
      </c>
      <c r="M19" s="78">
        <f>+(K19+L19)*J19</f>
        <v>957</v>
      </c>
      <c r="N19" s="41">
        <v>1</v>
      </c>
      <c r="O19" s="78">
        <v>825</v>
      </c>
      <c r="P19" s="78">
        <f>+O19*0.16</f>
        <v>132</v>
      </c>
      <c r="Q19" s="78">
        <f>+(O19+P19)*N19</f>
        <v>957</v>
      </c>
      <c r="R19" s="41">
        <v>1</v>
      </c>
      <c r="S19" s="78">
        <v>825</v>
      </c>
      <c r="T19" s="78">
        <f>+S19*0.16</f>
        <v>132</v>
      </c>
      <c r="U19" s="78">
        <f>+(S19+T19)*R19</f>
        <v>957</v>
      </c>
      <c r="V19" s="41">
        <v>1</v>
      </c>
      <c r="W19" s="78">
        <v>825</v>
      </c>
      <c r="X19" s="78">
        <v>0</v>
      </c>
      <c r="Y19" s="78">
        <f>+((W19+X19)*V19)*2</f>
        <v>1650</v>
      </c>
      <c r="Z19" s="41" t="s">
        <v>158</v>
      </c>
      <c r="AA19" s="78">
        <v>825</v>
      </c>
      <c r="AB19" s="78">
        <f>+AA19*0.16</f>
        <v>132</v>
      </c>
      <c r="AC19" s="78">
        <f>+(AA19+AB19)*22</f>
        <v>21054</v>
      </c>
    </row>
    <row r="20" spans="1:29" ht="27" x14ac:dyDescent="0.3">
      <c r="A20" s="100" t="s">
        <v>174</v>
      </c>
      <c r="B20" s="40">
        <v>1</v>
      </c>
      <c r="C20" s="78">
        <v>6875</v>
      </c>
      <c r="D20" s="78">
        <f t="shared" si="0"/>
        <v>1100</v>
      </c>
      <c r="E20" s="78">
        <f t="shared" si="1"/>
        <v>7975</v>
      </c>
      <c r="F20" s="41" t="s">
        <v>153</v>
      </c>
      <c r="G20" s="78"/>
      <c r="H20" s="78"/>
      <c r="I20" s="78"/>
      <c r="J20" s="41" t="s">
        <v>153</v>
      </c>
      <c r="K20" s="78"/>
      <c r="L20" s="78"/>
      <c r="M20" s="78"/>
      <c r="N20" s="41" t="s">
        <v>153</v>
      </c>
      <c r="O20" s="78"/>
      <c r="P20" s="78"/>
      <c r="Q20" s="78"/>
      <c r="R20" s="41" t="s">
        <v>153</v>
      </c>
      <c r="S20" s="78"/>
      <c r="T20" s="78"/>
      <c r="U20" s="78"/>
      <c r="V20" s="41" t="s">
        <v>153</v>
      </c>
      <c r="W20" s="78"/>
      <c r="X20" s="78"/>
      <c r="Y20" s="78"/>
      <c r="Z20" s="41" t="s">
        <v>153</v>
      </c>
      <c r="AA20" s="78"/>
      <c r="AB20" s="78"/>
      <c r="AC20" s="78"/>
    </row>
    <row r="21" spans="1:29" ht="88.5" customHeight="1" x14ac:dyDescent="0.3">
      <c r="A21" s="42"/>
      <c r="B21" s="38"/>
      <c r="C21" s="80"/>
      <c r="D21" s="81" t="s">
        <v>199</v>
      </c>
      <c r="E21" s="82">
        <f>SUM(E3:E20)*8</f>
        <v>11007936.000000002</v>
      </c>
      <c r="F21" s="38"/>
      <c r="G21" s="80"/>
      <c r="H21" s="81" t="s">
        <v>199</v>
      </c>
      <c r="I21" s="82">
        <f>SUM(I3:I20)*8</f>
        <v>804316.16000000003</v>
      </c>
      <c r="J21" s="38"/>
      <c r="K21" s="80"/>
      <c r="L21" s="81" t="s">
        <v>199</v>
      </c>
      <c r="M21" s="82">
        <f>SUM(M3:M20)*8</f>
        <v>804316.16000000003</v>
      </c>
      <c r="N21" s="39"/>
      <c r="O21" s="85"/>
      <c r="P21" s="81" t="s">
        <v>199</v>
      </c>
      <c r="Q21" s="82">
        <f>SUM(Q3:Q20)*8</f>
        <v>336446.4</v>
      </c>
      <c r="R21" s="39"/>
      <c r="S21" s="85"/>
      <c r="T21" s="81" t="s">
        <v>199</v>
      </c>
      <c r="U21" s="82">
        <f>SUM(U3:U20)*8</f>
        <v>336446.4</v>
      </c>
      <c r="V21" s="42"/>
      <c r="W21" s="86"/>
      <c r="X21" s="81" t="s">
        <v>199</v>
      </c>
      <c r="Y21" s="82">
        <f>SUM(Y3:Y20)*8</f>
        <v>470080</v>
      </c>
      <c r="Z21" s="39"/>
      <c r="AA21" s="85"/>
      <c r="AB21" s="81" t="s">
        <v>199</v>
      </c>
      <c r="AC21" s="82">
        <f>SUM(AC3:AC20)*8</f>
        <v>5998220.7999999998</v>
      </c>
    </row>
    <row r="22" spans="1:29" ht="112.5" customHeight="1" x14ac:dyDescent="0.3">
      <c r="A22" s="38"/>
      <c r="B22" s="38"/>
      <c r="C22" s="80"/>
      <c r="D22" s="81" t="s">
        <v>206</v>
      </c>
      <c r="E22" s="82">
        <f>+(((E21*3.66/100)/8)*12)+((E21/8)*12)</f>
        <v>17116239.686400004</v>
      </c>
      <c r="F22" s="38"/>
      <c r="G22" s="80"/>
      <c r="H22" s="81" t="s">
        <v>206</v>
      </c>
      <c r="I22" s="82">
        <f>+(((I21*3.66/100)/8)*12)+((I21/8)*12)</f>
        <v>1250631.1971839999</v>
      </c>
      <c r="J22" s="38"/>
      <c r="K22" s="80"/>
      <c r="L22" s="81" t="s">
        <v>206</v>
      </c>
      <c r="M22" s="82">
        <f>+(((M21*3.66/100)/8)*12)+((M21/8)*12)</f>
        <v>1250631.1971839999</v>
      </c>
      <c r="N22" s="39"/>
      <c r="O22" s="85"/>
      <c r="P22" s="81" t="s">
        <v>206</v>
      </c>
      <c r="Q22" s="82">
        <f>+(((Q21*3.66/100)/8)*12)+((Q21/8)*12)</f>
        <v>523140.50736000005</v>
      </c>
      <c r="R22" s="39"/>
      <c r="S22" s="85"/>
      <c r="T22" s="81" t="s">
        <v>206</v>
      </c>
      <c r="U22" s="82">
        <f>+(((U21*3.66/100)/8)*12)+((U21/8)*12)</f>
        <v>523140.50736000005</v>
      </c>
      <c r="V22" s="42"/>
      <c r="W22" s="86"/>
      <c r="X22" s="81" t="s">
        <v>206</v>
      </c>
      <c r="Y22" s="82">
        <f>+(((Y21*3.66/100)/8)*12)+((Y21/8)*12)</f>
        <v>730927.39199999999</v>
      </c>
      <c r="Z22" s="39"/>
      <c r="AA22" s="85"/>
      <c r="AB22" s="81" t="s">
        <v>206</v>
      </c>
      <c r="AC22" s="82">
        <f>+(((AC21*3.66/100)/8)*12)+((AC21/8)*12)</f>
        <v>9326633.5219199993</v>
      </c>
    </row>
    <row r="23" spans="1:29" ht="99.75" customHeight="1" x14ac:dyDescent="0.3">
      <c r="A23" s="38"/>
      <c r="B23" s="38"/>
      <c r="C23" s="80"/>
      <c r="D23" s="81" t="s">
        <v>207</v>
      </c>
      <c r="E23" s="82">
        <f>+(((E22*3.66/100)/12)*4)+((E22/12)*4)</f>
        <v>5914231.3529740814</v>
      </c>
      <c r="F23" s="38"/>
      <c r="G23" s="80"/>
      <c r="H23" s="81" t="s">
        <v>207</v>
      </c>
      <c r="I23" s="82">
        <f>+(((I22*3.66/100)/12)*4)+((I22/12)*4)</f>
        <v>432134.76633364474</v>
      </c>
      <c r="J23" s="38"/>
      <c r="K23" s="80"/>
      <c r="L23" s="81" t="s">
        <v>207</v>
      </c>
      <c r="M23" s="82">
        <f>+(((M22*3.66/100)/12)*4)+((M22/12)*4)</f>
        <v>432134.76633364474</v>
      </c>
      <c r="N23" s="39"/>
      <c r="O23" s="85"/>
      <c r="P23" s="81" t="s">
        <v>207</v>
      </c>
      <c r="Q23" s="82">
        <f>+(((Q22*3.66/100)/12)*4)+((Q22/12)*4)</f>
        <v>180762.48330979201</v>
      </c>
      <c r="R23" s="39"/>
      <c r="S23" s="85"/>
      <c r="T23" s="81" t="s">
        <v>207</v>
      </c>
      <c r="U23" s="82">
        <f>+(((U22*3.66/100)/12)*4)+((U22/12)*4)</f>
        <v>180762.48330979201</v>
      </c>
      <c r="V23" s="42"/>
      <c r="W23" s="86"/>
      <c r="X23" s="81" t="s">
        <v>207</v>
      </c>
      <c r="Y23" s="82">
        <f>+(((Y22*3.66/100)/12)*4)+((Y22/12)*4)</f>
        <v>252559.77818240001</v>
      </c>
      <c r="Z23" s="39"/>
      <c r="AA23" s="85"/>
      <c r="AB23" s="81" t="s">
        <v>207</v>
      </c>
      <c r="AC23" s="82">
        <f>+(((AC22*3.66/100)/12)*4)+((AC22/12)*4)</f>
        <v>3222662.7696074238</v>
      </c>
    </row>
    <row r="24" spans="1:29" ht="93" customHeight="1" x14ac:dyDescent="0.3">
      <c r="A24" s="38"/>
      <c r="B24" s="38"/>
      <c r="C24" s="80"/>
      <c r="D24" s="81" t="s">
        <v>200</v>
      </c>
      <c r="E24" s="82">
        <f>SUM(E21:E23)</f>
        <v>34038407.039374083</v>
      </c>
      <c r="F24" s="38"/>
      <c r="G24" s="80"/>
      <c r="H24" s="81" t="s">
        <v>200</v>
      </c>
      <c r="I24" s="82">
        <f>SUM(I21:I23)</f>
        <v>2487082.1235176446</v>
      </c>
      <c r="J24" s="38"/>
      <c r="K24" s="80"/>
      <c r="L24" s="81" t="s">
        <v>200</v>
      </c>
      <c r="M24" s="82">
        <f>SUM(M21:M23)</f>
        <v>2487082.1235176446</v>
      </c>
      <c r="N24" s="38"/>
      <c r="O24" s="80"/>
      <c r="P24" s="81" t="s">
        <v>200</v>
      </c>
      <c r="Q24" s="82">
        <f>SUM(Q21:Q23)</f>
        <v>1040349.3906697921</v>
      </c>
      <c r="R24" s="38"/>
      <c r="S24" s="80"/>
      <c r="T24" s="81" t="s">
        <v>200</v>
      </c>
      <c r="U24" s="82">
        <f>SUM(U21:U23)</f>
        <v>1040349.3906697921</v>
      </c>
      <c r="V24" s="38"/>
      <c r="W24" s="80"/>
      <c r="X24" s="81" t="s">
        <v>200</v>
      </c>
      <c r="Y24" s="82">
        <f>SUM(Y21:Y23)</f>
        <v>1453567.1701823999</v>
      </c>
      <c r="Z24" s="38"/>
      <c r="AA24" s="85"/>
      <c r="AB24" s="81" t="s">
        <v>200</v>
      </c>
      <c r="AC24" s="82">
        <f>SUM(AC21:AC23)</f>
        <v>18547517.091527425</v>
      </c>
    </row>
    <row r="25" spans="1:29" x14ac:dyDescent="0.3">
      <c r="A25" s="38"/>
      <c r="B25" s="38"/>
      <c r="C25" s="80"/>
      <c r="D25" s="83"/>
      <c r="E25" s="80"/>
      <c r="F25" s="38"/>
      <c r="G25" s="80"/>
      <c r="H25" s="80"/>
      <c r="I25" s="80"/>
      <c r="J25" s="38"/>
      <c r="K25" s="80"/>
      <c r="L25" s="80"/>
      <c r="M25" s="80"/>
      <c r="N25" s="38"/>
      <c r="O25" s="80"/>
      <c r="P25" s="80"/>
      <c r="Q25" s="80"/>
      <c r="R25" s="38"/>
      <c r="S25" s="80"/>
      <c r="T25" s="80"/>
      <c r="U25" s="80"/>
      <c r="V25" s="38"/>
      <c r="W25" s="80"/>
      <c r="X25" s="80"/>
      <c r="Y25" s="80"/>
      <c r="Z25" s="38"/>
      <c r="AA25" s="85"/>
      <c r="AB25" s="80"/>
      <c r="AC25" s="87"/>
    </row>
    <row r="26" spans="1:29" x14ac:dyDescent="0.3">
      <c r="A26" s="38"/>
      <c r="B26" s="38"/>
      <c r="C26" s="80"/>
      <c r="D26" s="142" t="s">
        <v>208</v>
      </c>
      <c r="E26" s="142"/>
      <c r="F26" s="142"/>
      <c r="G26" s="142"/>
      <c r="H26" s="142"/>
      <c r="I26" s="142"/>
      <c r="J26" s="142"/>
      <c r="K26" s="142"/>
      <c r="L26" s="142"/>
      <c r="M26" s="142"/>
      <c r="N26" s="142"/>
      <c r="O26" s="142"/>
      <c r="P26" s="142"/>
      <c r="Q26" s="171">
        <f>+AC24+Y24+U24+Q24+M24+I24+E24</f>
        <v>61094354.329458781</v>
      </c>
      <c r="R26" s="172"/>
      <c r="S26" s="172"/>
      <c r="T26" s="172"/>
      <c r="U26" s="172"/>
      <c r="V26" s="172"/>
      <c r="W26" s="172"/>
      <c r="X26" s="172"/>
      <c r="Y26" s="172"/>
      <c r="Z26" s="172"/>
      <c r="AA26" s="172"/>
      <c r="AB26" s="172"/>
      <c r="AC26" s="173"/>
    </row>
    <row r="27" spans="1:29" x14ac:dyDescent="0.3">
      <c r="A27" s="38"/>
      <c r="B27" s="38"/>
      <c r="C27" s="80"/>
      <c r="D27" s="80"/>
      <c r="E27" s="80"/>
      <c r="F27" s="38"/>
      <c r="G27" s="80"/>
      <c r="H27" s="80"/>
      <c r="I27" s="80"/>
      <c r="J27" s="38"/>
      <c r="K27" s="80"/>
      <c r="L27" s="80"/>
      <c r="M27" s="80"/>
      <c r="N27" s="38"/>
      <c r="O27" s="80"/>
      <c r="P27" s="80"/>
      <c r="Q27" s="80"/>
      <c r="R27" s="38"/>
      <c r="S27" s="80"/>
      <c r="T27" s="80"/>
      <c r="U27" s="80"/>
      <c r="V27" s="38"/>
      <c r="W27" s="80"/>
      <c r="X27" s="80"/>
      <c r="Y27" s="80"/>
      <c r="Z27" s="38"/>
      <c r="AA27" s="85"/>
      <c r="AB27" s="80"/>
    </row>
    <row r="28" spans="1:29" x14ac:dyDescent="0.3">
      <c r="A28" s="108" t="s">
        <v>183</v>
      </c>
      <c r="B28" s="108"/>
      <c r="C28" s="108"/>
      <c r="D28" s="108"/>
      <c r="E28" s="108"/>
      <c r="F28" s="108"/>
      <c r="G28" s="108"/>
      <c r="H28" s="108"/>
      <c r="I28" s="108"/>
      <c r="J28" s="108"/>
      <c r="K28" s="108"/>
      <c r="L28" s="108"/>
      <c r="M28" s="108"/>
      <c r="N28" s="108"/>
      <c r="O28" s="108"/>
      <c r="P28" s="108"/>
      <c r="Q28" s="108"/>
    </row>
    <row r="29" spans="1:29" x14ac:dyDescent="0.3">
      <c r="A29" s="108"/>
      <c r="B29" s="108"/>
      <c r="C29" s="108"/>
      <c r="D29" s="108"/>
      <c r="E29" s="108"/>
      <c r="F29" s="108"/>
      <c r="G29" s="108"/>
      <c r="H29" s="108"/>
      <c r="I29" s="108"/>
      <c r="J29" s="108"/>
      <c r="K29" s="108"/>
      <c r="L29" s="108"/>
      <c r="M29" s="108"/>
      <c r="N29" s="108"/>
      <c r="O29" s="108"/>
      <c r="P29" s="108"/>
      <c r="Q29" s="108"/>
    </row>
    <row r="30" spans="1:29" x14ac:dyDescent="0.3">
      <c r="A30" s="1"/>
      <c r="B30" s="1"/>
      <c r="C30" s="61"/>
      <c r="D30" s="61"/>
      <c r="E30" s="61"/>
      <c r="F30" s="1"/>
      <c r="G30" s="61"/>
      <c r="H30" s="61"/>
      <c r="I30" s="73"/>
      <c r="J30" s="19"/>
      <c r="K30" s="73"/>
      <c r="L30" s="73"/>
      <c r="M30" s="73"/>
      <c r="N30" s="19"/>
      <c r="O30" s="73"/>
      <c r="P30" s="73"/>
      <c r="Q30" s="73"/>
    </row>
    <row r="31" spans="1:29" ht="81" x14ac:dyDescent="0.3">
      <c r="A31" s="96" t="s">
        <v>180</v>
      </c>
      <c r="B31" s="109" t="s">
        <v>181</v>
      </c>
      <c r="C31" s="109"/>
      <c r="D31" s="109"/>
      <c r="E31" s="109"/>
      <c r="F31" s="109"/>
      <c r="G31" s="109"/>
      <c r="H31" s="62" t="s">
        <v>182</v>
      </c>
      <c r="I31" s="73"/>
      <c r="J31" s="19"/>
      <c r="K31" s="73"/>
      <c r="L31" s="73"/>
      <c r="M31" s="73"/>
      <c r="N31" s="19"/>
      <c r="O31" s="73"/>
      <c r="P31" s="73"/>
      <c r="Q31" s="73"/>
    </row>
    <row r="32" spans="1:29" x14ac:dyDescent="0.3">
      <c r="A32" s="48"/>
      <c r="B32" s="110"/>
      <c r="C32" s="110"/>
      <c r="D32" s="110"/>
      <c r="E32" s="110"/>
      <c r="F32" s="110"/>
      <c r="G32" s="110"/>
      <c r="H32" s="60"/>
      <c r="I32" s="73"/>
      <c r="J32" s="19"/>
      <c r="K32" s="73"/>
      <c r="L32" s="73"/>
      <c r="M32" s="73"/>
      <c r="N32" s="19"/>
      <c r="O32" s="73"/>
      <c r="P32" s="73"/>
      <c r="Q32" s="73"/>
    </row>
    <row r="34" spans="1:17" x14ac:dyDescent="0.3">
      <c r="A34" s="111" t="s">
        <v>184</v>
      </c>
      <c r="B34" s="111"/>
      <c r="C34" s="111"/>
      <c r="D34" s="111"/>
      <c r="E34" s="111"/>
      <c r="F34" s="111"/>
      <c r="G34" s="111"/>
      <c r="H34" s="111"/>
      <c r="I34" s="111"/>
      <c r="J34" s="111"/>
      <c r="K34" s="111"/>
      <c r="L34" s="111"/>
      <c r="M34" s="111"/>
      <c r="N34" s="111"/>
      <c r="O34" s="111"/>
      <c r="P34" s="111"/>
      <c r="Q34" s="111"/>
    </row>
    <row r="36" spans="1:17" ht="16.5" customHeight="1" x14ac:dyDescent="0.3">
      <c r="A36" s="170" t="s">
        <v>228</v>
      </c>
      <c r="B36" s="170"/>
      <c r="C36" s="170"/>
      <c r="D36" s="170"/>
      <c r="E36" s="170"/>
      <c r="F36" s="170"/>
      <c r="G36" s="170"/>
      <c r="H36" s="170"/>
      <c r="I36" s="170"/>
      <c r="J36" s="170"/>
      <c r="K36" s="170"/>
      <c r="L36" s="170"/>
      <c r="M36" s="170"/>
      <c r="N36" s="170"/>
      <c r="O36" s="170"/>
      <c r="P36" s="170"/>
      <c r="Q36" s="170"/>
    </row>
    <row r="37" spans="1:17" ht="16.5" customHeight="1" x14ac:dyDescent="0.3">
      <c r="A37" s="170" t="s">
        <v>214</v>
      </c>
      <c r="B37" s="170"/>
      <c r="C37" s="170"/>
      <c r="D37" s="170"/>
      <c r="E37" s="170"/>
      <c r="F37" s="170"/>
      <c r="G37" s="170"/>
      <c r="H37" s="170"/>
      <c r="I37" s="170"/>
      <c r="J37" s="170"/>
      <c r="K37" s="170"/>
      <c r="L37" s="170"/>
      <c r="M37" s="170"/>
      <c r="N37" s="170"/>
      <c r="O37" s="170"/>
      <c r="P37" s="170"/>
      <c r="Q37" s="170"/>
    </row>
    <row r="38" spans="1:17" ht="91.5" customHeight="1" x14ac:dyDescent="0.3">
      <c r="A38" s="170" t="s">
        <v>229</v>
      </c>
      <c r="B38" s="170"/>
      <c r="C38" s="170"/>
      <c r="D38" s="170"/>
      <c r="E38" s="170"/>
      <c r="F38" s="170"/>
      <c r="G38" s="170"/>
      <c r="H38" s="170"/>
      <c r="I38" s="170"/>
      <c r="J38" s="170"/>
      <c r="K38" s="170"/>
      <c r="L38" s="170"/>
      <c r="M38" s="170"/>
      <c r="N38" s="170"/>
      <c r="O38" s="170"/>
      <c r="P38" s="170"/>
      <c r="Q38" s="170"/>
    </row>
    <row r="39" spans="1:17" ht="103.5" customHeight="1" x14ac:dyDescent="0.3">
      <c r="A39" s="169" t="s">
        <v>231</v>
      </c>
      <c r="B39" s="170"/>
      <c r="C39" s="170"/>
      <c r="D39" s="170"/>
      <c r="E39" s="170"/>
      <c r="F39" s="170"/>
      <c r="G39" s="170"/>
      <c r="H39" s="170"/>
      <c r="I39" s="170"/>
      <c r="J39" s="170"/>
      <c r="K39" s="170"/>
      <c r="L39" s="170"/>
      <c r="M39" s="170"/>
      <c r="N39" s="170"/>
      <c r="O39" s="170"/>
      <c r="P39" s="170"/>
      <c r="Q39" s="170"/>
    </row>
    <row r="40" spans="1:17" x14ac:dyDescent="0.3">
      <c r="A40" s="163" t="s">
        <v>230</v>
      </c>
      <c r="B40" s="163"/>
      <c r="C40" s="163"/>
      <c r="D40" s="163"/>
      <c r="E40" s="163"/>
      <c r="F40" s="163"/>
      <c r="G40" s="163"/>
      <c r="H40" s="163"/>
      <c r="I40" s="163"/>
      <c r="J40" s="163"/>
      <c r="K40" s="163"/>
      <c r="L40" s="163"/>
      <c r="M40" s="163"/>
      <c r="N40" s="163"/>
      <c r="O40" s="163"/>
      <c r="P40" s="163"/>
      <c r="Q40" s="163"/>
    </row>
  </sheetData>
  <mergeCells count="19">
    <mergeCell ref="A36:Q36"/>
    <mergeCell ref="A37:Q37"/>
    <mergeCell ref="A38:Q38"/>
    <mergeCell ref="A40:Q40"/>
    <mergeCell ref="Z1:AC1"/>
    <mergeCell ref="A1:A2"/>
    <mergeCell ref="B1:E1"/>
    <mergeCell ref="F1:I1"/>
    <mergeCell ref="J1:M1"/>
    <mergeCell ref="N1:Q1"/>
    <mergeCell ref="A39:Q39"/>
    <mergeCell ref="D26:P26"/>
    <mergeCell ref="Q26:AC26"/>
    <mergeCell ref="A28:Q29"/>
    <mergeCell ref="B31:G31"/>
    <mergeCell ref="B32:G32"/>
    <mergeCell ref="A34:Q34"/>
    <mergeCell ref="R1:U1"/>
    <mergeCell ref="V1:Y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4" workbookViewId="0">
      <selection activeCell="A10" sqref="A10"/>
    </sheetView>
  </sheetViews>
  <sheetFormatPr baseColWidth="10" defaultRowHeight="15" x14ac:dyDescent="0.25"/>
  <cols>
    <col min="1" max="1" width="27.85546875" customWidth="1"/>
    <col min="2" max="2" width="11.5703125" bestFit="1" customWidth="1"/>
    <col min="3" max="3" width="13.140625" bestFit="1" customWidth="1"/>
    <col min="4" max="4" width="11.5703125" bestFit="1" customWidth="1"/>
    <col min="5" max="5" width="13.140625" bestFit="1" customWidth="1"/>
    <col min="6" max="6" width="11.5703125" bestFit="1" customWidth="1"/>
    <col min="7" max="7" width="13.140625" bestFit="1" customWidth="1"/>
    <col min="8" max="8" width="11.5703125" bestFit="1" customWidth="1"/>
    <col min="9" max="9" width="14.140625" bestFit="1" customWidth="1"/>
    <col min="10" max="10" width="11.5703125" bestFit="1" customWidth="1"/>
    <col min="11" max="11" width="13.140625" bestFit="1" customWidth="1"/>
    <col min="12" max="12" width="11.5703125" bestFit="1" customWidth="1"/>
    <col min="13" max="13" width="13.140625" bestFit="1" customWidth="1"/>
  </cols>
  <sheetData>
    <row r="1" spans="1:17" ht="24.75" customHeight="1" x14ac:dyDescent="0.25">
      <c r="A1" s="177" t="s">
        <v>29</v>
      </c>
      <c r="B1" s="159" t="s">
        <v>143</v>
      </c>
      <c r="C1" s="159"/>
      <c r="D1" s="159"/>
      <c r="E1" s="159"/>
      <c r="F1" s="159" t="s">
        <v>144</v>
      </c>
      <c r="G1" s="159"/>
      <c r="H1" s="159"/>
      <c r="I1" s="159"/>
      <c r="J1" s="159" t="s">
        <v>145</v>
      </c>
      <c r="K1" s="159"/>
      <c r="L1" s="159"/>
      <c r="M1" s="159"/>
      <c r="N1" s="43"/>
    </row>
    <row r="2" spans="1:17" ht="27" x14ac:dyDescent="0.25">
      <c r="A2" s="177"/>
      <c r="B2" s="25" t="s">
        <v>140</v>
      </c>
      <c r="C2" s="25" t="s">
        <v>176</v>
      </c>
      <c r="D2" s="25" t="s">
        <v>194</v>
      </c>
      <c r="E2" s="25" t="s">
        <v>201</v>
      </c>
      <c r="F2" s="25" t="s">
        <v>139</v>
      </c>
      <c r="G2" s="25" t="s">
        <v>176</v>
      </c>
      <c r="H2" s="25" t="s">
        <v>194</v>
      </c>
      <c r="I2" s="25" t="s">
        <v>201</v>
      </c>
      <c r="J2" s="25" t="s">
        <v>139</v>
      </c>
      <c r="K2" s="25" t="s">
        <v>176</v>
      </c>
      <c r="L2" s="25" t="s">
        <v>194</v>
      </c>
      <c r="M2" s="25" t="s">
        <v>201</v>
      </c>
    </row>
    <row r="3" spans="1:17" ht="36" x14ac:dyDescent="0.25">
      <c r="A3" s="44" t="s">
        <v>175</v>
      </c>
      <c r="B3" s="89">
        <v>1</v>
      </c>
      <c r="C3" s="89">
        <v>4500000</v>
      </c>
      <c r="D3" s="89">
        <f>+C3*0.16</f>
        <v>720000</v>
      </c>
      <c r="E3" s="89">
        <f>+C3+D3</f>
        <v>5220000</v>
      </c>
      <c r="F3" s="89">
        <v>2</v>
      </c>
      <c r="G3" s="89">
        <f>+(C3*3.66/100)+C3</f>
        <v>4664700</v>
      </c>
      <c r="H3" s="89">
        <f>+G3*0.16</f>
        <v>746352</v>
      </c>
      <c r="I3" s="89">
        <f>+(G3+H3)*2</f>
        <v>10822104</v>
      </c>
      <c r="J3" s="89">
        <v>1</v>
      </c>
      <c r="K3" s="89">
        <f>+(G3*3.66/100)+G3</f>
        <v>4835428.0199999996</v>
      </c>
      <c r="L3" s="89">
        <f>+K3*0.16</f>
        <v>773668.4831999999</v>
      </c>
      <c r="M3" s="89">
        <f>+(K3+L3)</f>
        <v>5609096.5031999992</v>
      </c>
    </row>
    <row r="4" spans="1:17" ht="6.75" customHeight="1" x14ac:dyDescent="0.25">
      <c r="A4" s="14"/>
      <c r="D4" s="57"/>
      <c r="M4" s="36"/>
    </row>
    <row r="5" spans="1:17" ht="15" customHeight="1" x14ac:dyDescent="0.25">
      <c r="A5" s="142" t="s">
        <v>200</v>
      </c>
      <c r="B5" s="142"/>
      <c r="C5" s="142"/>
      <c r="D5" s="142"/>
      <c r="E5" s="142"/>
      <c r="F5" s="142"/>
      <c r="G5" s="142"/>
      <c r="H5" s="142"/>
      <c r="I5" s="142"/>
      <c r="J5" s="174">
        <f>+M3+I3+E3</f>
        <v>21651200.503199998</v>
      </c>
      <c r="K5" s="175"/>
      <c r="L5" s="175"/>
      <c r="M5" s="176"/>
    </row>
    <row r="6" spans="1:17" ht="9" customHeight="1" x14ac:dyDescent="0.25">
      <c r="A6" s="14"/>
    </row>
    <row r="7" spans="1:17" ht="15" customHeight="1" x14ac:dyDescent="0.25">
      <c r="A7" s="108" t="s">
        <v>183</v>
      </c>
      <c r="B7" s="108"/>
      <c r="C7" s="108"/>
      <c r="D7" s="108"/>
      <c r="E7" s="108"/>
      <c r="F7" s="108"/>
      <c r="G7" s="108"/>
      <c r="H7" s="108"/>
      <c r="I7" s="108"/>
      <c r="J7" s="108"/>
      <c r="K7" s="108"/>
      <c r="L7" s="108"/>
      <c r="M7" s="108"/>
      <c r="N7" s="49"/>
      <c r="O7" s="49"/>
      <c r="P7" s="49"/>
      <c r="Q7" s="49"/>
    </row>
    <row r="8" spans="1:17" ht="5.25" customHeight="1" x14ac:dyDescent="0.25">
      <c r="A8" s="1"/>
      <c r="B8" s="1"/>
      <c r="C8" s="1"/>
      <c r="D8" s="1"/>
      <c r="E8" s="1"/>
      <c r="F8" s="1"/>
      <c r="G8" s="1"/>
      <c r="H8" s="1"/>
      <c r="I8" s="19"/>
      <c r="J8" s="19"/>
      <c r="K8" s="19"/>
      <c r="L8" s="19"/>
      <c r="M8" s="19"/>
      <c r="N8" s="19"/>
      <c r="O8" s="19"/>
      <c r="P8" s="19"/>
      <c r="Q8" s="19"/>
    </row>
    <row r="9" spans="1:17" ht="81" x14ac:dyDescent="0.25">
      <c r="A9" s="46" t="s">
        <v>180</v>
      </c>
      <c r="B9" s="109" t="s">
        <v>181</v>
      </c>
      <c r="C9" s="109"/>
      <c r="D9" s="109"/>
      <c r="E9" s="109"/>
      <c r="F9" s="109"/>
      <c r="G9" s="109"/>
      <c r="H9" s="47" t="s">
        <v>182</v>
      </c>
      <c r="I9" s="19"/>
      <c r="J9" s="19"/>
      <c r="K9" s="19"/>
      <c r="L9" s="19"/>
      <c r="M9" s="19"/>
      <c r="N9" s="19"/>
      <c r="O9" s="19"/>
      <c r="P9" s="19"/>
      <c r="Q9" s="19"/>
    </row>
    <row r="10" spans="1:17" x14ac:dyDescent="0.25">
      <c r="A10" s="48" t="s">
        <v>217</v>
      </c>
      <c r="B10" s="110" t="s">
        <v>218</v>
      </c>
      <c r="C10" s="110"/>
      <c r="D10" s="110"/>
      <c r="E10" s="110"/>
      <c r="F10" s="110"/>
      <c r="G10" s="110"/>
      <c r="H10" s="2"/>
      <c r="I10" s="19"/>
      <c r="J10" s="19"/>
      <c r="K10" s="19"/>
      <c r="L10" s="19"/>
      <c r="M10" s="19"/>
      <c r="N10" s="19"/>
      <c r="O10" s="19"/>
      <c r="P10" s="19"/>
      <c r="Q10" s="19"/>
    </row>
    <row r="12" spans="1:17" ht="15" customHeight="1" x14ac:dyDescent="0.25">
      <c r="A12" s="111" t="s">
        <v>184</v>
      </c>
      <c r="B12" s="111"/>
      <c r="C12" s="111"/>
      <c r="D12" s="111"/>
      <c r="E12" s="111"/>
      <c r="F12" s="111"/>
      <c r="G12" s="111"/>
      <c r="H12" s="111"/>
      <c r="I12" s="111"/>
      <c r="J12" s="111"/>
      <c r="K12" s="111"/>
      <c r="L12" s="111"/>
      <c r="M12" s="111"/>
      <c r="N12" s="51"/>
      <c r="O12" s="51"/>
      <c r="P12" s="51"/>
      <c r="Q12" s="51"/>
    </row>
    <row r="13" spans="1:17" ht="16.5" customHeight="1" x14ac:dyDescent="0.25"/>
    <row r="14" spans="1:17" ht="15" customHeight="1" x14ac:dyDescent="0.25">
      <c r="A14" s="178" t="s">
        <v>215</v>
      </c>
      <c r="B14" s="178"/>
      <c r="C14" s="178"/>
      <c r="D14" s="178"/>
      <c r="E14" s="178"/>
      <c r="F14" s="178"/>
      <c r="G14" s="178"/>
      <c r="H14" s="178"/>
      <c r="I14" s="178"/>
      <c r="J14" s="178"/>
      <c r="K14" s="178"/>
      <c r="L14" s="178"/>
      <c r="M14" s="178"/>
    </row>
    <row r="15" spans="1:17" ht="19.5" customHeight="1" x14ac:dyDescent="0.25">
      <c r="A15" s="178"/>
      <c r="B15" s="178"/>
      <c r="C15" s="178"/>
      <c r="D15" s="178"/>
      <c r="E15" s="178"/>
      <c r="F15" s="178"/>
      <c r="G15" s="178"/>
      <c r="H15" s="178"/>
      <c r="I15" s="178"/>
      <c r="J15" s="178"/>
      <c r="K15" s="178"/>
      <c r="L15" s="178"/>
      <c r="M15" s="178"/>
    </row>
    <row r="16" spans="1:17" ht="20.25" customHeight="1" x14ac:dyDescent="0.25">
      <c r="A16" s="178" t="s">
        <v>216</v>
      </c>
      <c r="B16" s="178"/>
      <c r="C16" s="178"/>
      <c r="D16" s="178"/>
      <c r="E16" s="178"/>
      <c r="F16" s="178"/>
      <c r="G16" s="178"/>
      <c r="H16" s="178"/>
      <c r="I16" s="178"/>
      <c r="J16" s="178"/>
      <c r="K16" s="178"/>
      <c r="L16" s="178"/>
      <c r="M16" s="178"/>
    </row>
  </sheetData>
  <mergeCells count="12">
    <mergeCell ref="A14:M15"/>
    <mergeCell ref="A16:M16"/>
    <mergeCell ref="B9:G9"/>
    <mergeCell ref="B10:G10"/>
    <mergeCell ref="A7:M7"/>
    <mergeCell ref="A12:M12"/>
    <mergeCell ref="A5:I5"/>
    <mergeCell ref="F1:I1"/>
    <mergeCell ref="J1:M1"/>
    <mergeCell ref="J5:M5"/>
    <mergeCell ref="A1:A2"/>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F19" sqref="F19"/>
    </sheetView>
  </sheetViews>
  <sheetFormatPr baseColWidth="10" defaultRowHeight="15" x14ac:dyDescent="0.25"/>
  <cols>
    <col min="5" max="5" width="20.85546875" customWidth="1"/>
    <col min="6" max="6" width="52.28515625" customWidth="1"/>
    <col min="7" max="7" width="16.85546875" style="94" bestFit="1" customWidth="1"/>
    <col min="8" max="8" width="11.5703125" style="94" bestFit="1" customWidth="1"/>
  </cols>
  <sheetData>
    <row r="2" spans="1:10" x14ac:dyDescent="0.25">
      <c r="A2" s="181" t="s">
        <v>202</v>
      </c>
      <c r="B2" s="182"/>
      <c r="C2" s="182"/>
      <c r="D2" s="182"/>
      <c r="E2" s="182"/>
      <c r="F2" s="183"/>
    </row>
    <row r="3" spans="1:10" x14ac:dyDescent="0.25">
      <c r="A3" s="184"/>
      <c r="B3" s="185"/>
      <c r="C3" s="185"/>
      <c r="D3" s="185"/>
      <c r="E3" s="185"/>
      <c r="F3" s="186"/>
    </row>
    <row r="4" spans="1:10" x14ac:dyDescent="0.25">
      <c r="A4" s="180" t="s">
        <v>187</v>
      </c>
      <c r="B4" s="180"/>
      <c r="C4" s="180"/>
      <c r="D4" s="180"/>
      <c r="E4" s="180"/>
      <c r="F4" s="89" t="e">
        <f>+'Recurso Humano'!H81+'Recurso Humano'!H82+'Recurso Humano'!H83+'Insumos Aseo Cafetería'!B2+'Insumos Aseo Cafetería'!B3+'Insumos Aseo Cafetería'!B4+'Servicio Fumigación'!I44+#REF!+#REF!+#REF!+#REF!+#REF!+#REF!+#REF!+'Lavada Vidrios'!E3</f>
        <v>#REF!</v>
      </c>
    </row>
    <row r="5" spans="1:10" x14ac:dyDescent="0.25">
      <c r="A5" s="180" t="s">
        <v>188</v>
      </c>
      <c r="B5" s="180"/>
      <c r="C5" s="180"/>
      <c r="D5" s="180"/>
      <c r="E5" s="180"/>
      <c r="F5" s="89" t="e">
        <f>+'Recurso Humano'!H84+'Recurso Humano'!H85+'Recurso Humano'!H86+'Insumos Aseo Cafetería'!C2+'Insumos Aseo Cafetería'!C3+'Insumos Aseo Cafetería'!C4+'Servicio Fumigación'!M44+#REF!+#REF!+#REF!+#REF!+#REF!+#REF!+#REF!+'Lavada Vidrios'!I3</f>
        <v>#REF!</v>
      </c>
    </row>
    <row r="6" spans="1:10" x14ac:dyDescent="0.25">
      <c r="A6" s="180" t="s">
        <v>189</v>
      </c>
      <c r="B6" s="180"/>
      <c r="C6" s="180"/>
      <c r="D6" s="180"/>
      <c r="E6" s="180"/>
      <c r="F6" s="89" t="e">
        <f>+'Recurso Humano'!H87+'Recurso Humano'!H88+'Recurso Humano'!H89+'Insumos Aseo Cafetería'!D2+'Insumos Aseo Cafetería'!D3+'Insumos Aseo Cafetería'!D4+'Servicio Fumigación'!Q44+#REF!+#REF!+#REF!+#REF!+#REF!+#REF!+#REF!+'Lavada Vidrios'!M3</f>
        <v>#REF!</v>
      </c>
    </row>
    <row r="7" spans="1:10" ht="2.25" customHeight="1" x14ac:dyDescent="0.25">
      <c r="A7" s="52"/>
      <c r="B7" s="52"/>
      <c r="C7" s="52"/>
      <c r="D7" s="52"/>
      <c r="E7" s="52"/>
      <c r="F7" s="30"/>
    </row>
    <row r="8" spans="1:10" ht="44.25" customHeight="1" x14ac:dyDescent="0.25">
      <c r="A8" s="180" t="s">
        <v>185</v>
      </c>
      <c r="B8" s="180"/>
      <c r="C8" s="180"/>
      <c r="D8" s="180"/>
      <c r="E8" s="180"/>
      <c r="F8" s="95" t="s">
        <v>210</v>
      </c>
    </row>
    <row r="9" spans="1:10" x14ac:dyDescent="0.25">
      <c r="A9" s="180" t="s">
        <v>186</v>
      </c>
      <c r="B9" s="180"/>
      <c r="C9" s="180"/>
      <c r="D9" s="180"/>
      <c r="E9" s="180"/>
      <c r="F9" s="93" t="e">
        <f>+F4+F5+F6</f>
        <v>#REF!</v>
      </c>
    </row>
    <row r="10" spans="1:10" x14ac:dyDescent="0.25">
      <c r="A10" s="98"/>
      <c r="B10" s="98"/>
      <c r="C10" s="98"/>
      <c r="D10" s="98"/>
      <c r="E10" s="98"/>
      <c r="F10" s="99"/>
    </row>
    <row r="11" spans="1:10" ht="15" customHeight="1" x14ac:dyDescent="0.25">
      <c r="A11" s="179" t="s">
        <v>221</v>
      </c>
      <c r="B11" s="179"/>
      <c r="C11" s="179"/>
      <c r="D11" s="179"/>
      <c r="E11" s="179"/>
      <c r="F11" s="179"/>
      <c r="G11" s="92"/>
      <c r="H11" s="92"/>
      <c r="I11" s="92"/>
      <c r="J11" s="92"/>
    </row>
    <row r="12" spans="1:10" x14ac:dyDescent="0.25">
      <c r="A12" s="179"/>
      <c r="B12" s="179"/>
      <c r="C12" s="179"/>
      <c r="D12" s="179"/>
      <c r="E12" s="179"/>
      <c r="F12" s="179"/>
    </row>
    <row r="13" spans="1:10" x14ac:dyDescent="0.25">
      <c r="A13" s="179"/>
      <c r="B13" s="179"/>
      <c r="C13" s="179"/>
      <c r="D13" s="179"/>
      <c r="E13" s="179"/>
      <c r="F13" s="179"/>
    </row>
  </sheetData>
  <mergeCells count="7">
    <mergeCell ref="A11:F13"/>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2015-04-23T00:48:59Z</dcterms:modified>
</cp:coreProperties>
</file>