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activeTab="4"/>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AC6" i="4" l="1"/>
  <c r="AC7" i="4" l="1"/>
  <c r="AC16" i="4"/>
  <c r="AC19" i="4"/>
  <c r="AB19" i="4"/>
  <c r="AB16" i="4"/>
  <c r="AB7" i="4"/>
  <c r="AB6" i="4"/>
  <c r="Y19" i="4"/>
  <c r="Y16" i="4"/>
  <c r="Y7" i="4"/>
  <c r="Y6" i="4"/>
  <c r="U19" i="4"/>
  <c r="T19" i="4"/>
  <c r="T16" i="4"/>
  <c r="U16" i="4" s="1"/>
  <c r="T10" i="4"/>
  <c r="U10" i="4" s="1"/>
  <c r="U9" i="4"/>
  <c r="T9" i="4"/>
  <c r="T7" i="4"/>
  <c r="U7" i="4" s="1"/>
  <c r="U6" i="4"/>
  <c r="T6" i="4"/>
  <c r="Q21" i="4"/>
  <c r="Q19" i="4"/>
  <c r="Q16" i="4"/>
  <c r="Q9" i="4"/>
  <c r="Q7" i="4"/>
  <c r="Q6" i="4"/>
  <c r="P19" i="4"/>
  <c r="P16" i="4"/>
  <c r="P9" i="4"/>
  <c r="P7" i="4"/>
  <c r="P6" i="4"/>
  <c r="M7" i="4"/>
  <c r="M9" i="4"/>
  <c r="M10" i="4"/>
  <c r="M16" i="4"/>
  <c r="M19" i="4"/>
  <c r="L7" i="4"/>
  <c r="L9" i="4"/>
  <c r="L10" i="4"/>
  <c r="L16" i="4"/>
  <c r="L19" i="4"/>
  <c r="M6" i="4"/>
  <c r="L6" i="4"/>
  <c r="I7" i="4"/>
  <c r="I9" i="4"/>
  <c r="I10" i="4"/>
  <c r="I16" i="4"/>
  <c r="I19" i="4"/>
  <c r="I6" i="4"/>
  <c r="H7" i="4"/>
  <c r="H9" i="4"/>
  <c r="H10" i="4"/>
  <c r="H16" i="4"/>
  <c r="H19" i="4"/>
  <c r="H6" i="4"/>
  <c r="F20" i="6"/>
  <c r="F11" i="6"/>
  <c r="F8" i="6"/>
  <c r="J5" i="5"/>
  <c r="M3" i="5"/>
  <c r="L3" i="5"/>
  <c r="K3" i="5"/>
  <c r="I3" i="5"/>
  <c r="H3" i="5"/>
  <c r="G3" i="5"/>
  <c r="E3" i="5"/>
  <c r="D3" i="5"/>
  <c r="I21" i="4"/>
  <c r="I22" i="4" s="1"/>
  <c r="E5" i="4"/>
  <c r="E4" i="4"/>
  <c r="E6" i="4"/>
  <c r="E7" i="4"/>
  <c r="E8" i="4"/>
  <c r="E9" i="4"/>
  <c r="E10" i="4"/>
  <c r="E11" i="4"/>
  <c r="E12" i="4"/>
  <c r="E13" i="4"/>
  <c r="E14" i="4"/>
  <c r="E15" i="4"/>
  <c r="E16" i="4"/>
  <c r="E17" i="4"/>
  <c r="E18" i="4"/>
  <c r="E20" i="4"/>
  <c r="E3" i="4"/>
  <c r="D4" i="4"/>
  <c r="D5" i="4"/>
  <c r="D6" i="4"/>
  <c r="D7" i="4"/>
  <c r="D8" i="4"/>
  <c r="D9" i="4"/>
  <c r="D10" i="4"/>
  <c r="D11" i="4"/>
  <c r="D12" i="4"/>
  <c r="D13" i="4"/>
  <c r="D14" i="4"/>
  <c r="D15" i="4"/>
  <c r="D16" i="4"/>
  <c r="D17" i="4"/>
  <c r="D18" i="4"/>
  <c r="D19" i="4"/>
  <c r="E19" i="4" s="1"/>
  <c r="D20" i="4"/>
  <c r="D3" i="4"/>
  <c r="K5" i="3"/>
  <c r="L5" i="3" s="1"/>
  <c r="M5" i="3" s="1"/>
  <c r="K6" i="3"/>
  <c r="L6" i="3" s="1"/>
  <c r="M6" i="3" s="1"/>
  <c r="K7" i="3"/>
  <c r="O7" i="3" s="1"/>
  <c r="P7" i="3" s="1"/>
  <c r="K8" i="3"/>
  <c r="O8" i="3" s="1"/>
  <c r="Q8" i="3" s="1"/>
  <c r="K9" i="3"/>
  <c r="L9" i="3" s="1"/>
  <c r="M9" i="3" s="1"/>
  <c r="K10" i="3"/>
  <c r="O10" i="3" s="1"/>
  <c r="K11" i="3"/>
  <c r="O11" i="3" s="1"/>
  <c r="K12" i="3"/>
  <c r="O12" i="3" s="1"/>
  <c r="K13" i="3"/>
  <c r="O13" i="3" s="1"/>
  <c r="K14" i="3"/>
  <c r="O14" i="3" s="1"/>
  <c r="K15" i="3"/>
  <c r="O15" i="3" s="1"/>
  <c r="Q15" i="3" s="1"/>
  <c r="K16" i="3"/>
  <c r="L16" i="3" s="1"/>
  <c r="M16" i="3" s="1"/>
  <c r="K17" i="3"/>
  <c r="L17" i="3" s="1"/>
  <c r="M17" i="3" s="1"/>
  <c r="K18" i="3"/>
  <c r="L18" i="3" s="1"/>
  <c r="M18" i="3" s="1"/>
  <c r="K19" i="3"/>
  <c r="O19" i="3" s="1"/>
  <c r="K20" i="3"/>
  <c r="L20" i="3" s="1"/>
  <c r="M20" i="3" s="1"/>
  <c r="K21" i="3"/>
  <c r="O21" i="3" s="1"/>
  <c r="K22" i="3"/>
  <c r="L22" i="3" s="1"/>
  <c r="M22" i="3" s="1"/>
  <c r="K23" i="3"/>
  <c r="O23" i="3" s="1"/>
  <c r="K24" i="3"/>
  <c r="L24" i="3" s="1"/>
  <c r="M24" i="3" s="1"/>
  <c r="K25" i="3"/>
  <c r="O25" i="3" s="1"/>
  <c r="K26" i="3"/>
  <c r="O26" i="3" s="1"/>
  <c r="K27" i="3"/>
  <c r="O27" i="3" s="1"/>
  <c r="K28" i="3"/>
  <c r="L28" i="3" s="1"/>
  <c r="M28" i="3" s="1"/>
  <c r="K29" i="3"/>
  <c r="L29" i="3" s="1"/>
  <c r="M29" i="3" s="1"/>
  <c r="K30" i="3"/>
  <c r="O30" i="3" s="1"/>
  <c r="K31" i="3"/>
  <c r="O31" i="3" s="1"/>
  <c r="K32" i="3"/>
  <c r="L32" i="3" s="1"/>
  <c r="M32" i="3" s="1"/>
  <c r="K33" i="3"/>
  <c r="L33" i="3" s="1"/>
  <c r="M33" i="3" s="1"/>
  <c r="K34" i="3"/>
  <c r="L34" i="3" s="1"/>
  <c r="M34" i="3" s="1"/>
  <c r="K35" i="3"/>
  <c r="O35" i="3" s="1"/>
  <c r="K36" i="3"/>
  <c r="L36" i="3" s="1"/>
  <c r="M36" i="3" s="1"/>
  <c r="K37" i="3"/>
  <c r="O37" i="3" s="1"/>
  <c r="K38" i="3"/>
  <c r="L38" i="3" s="1"/>
  <c r="M38" i="3" s="1"/>
  <c r="K39" i="3"/>
  <c r="O39" i="3" s="1"/>
  <c r="P39" i="3" s="1"/>
  <c r="K40" i="3"/>
  <c r="L40" i="3" s="1"/>
  <c r="M40" i="3" s="1"/>
  <c r="K41" i="3"/>
  <c r="O41" i="3" s="1"/>
  <c r="K42" i="3"/>
  <c r="O42" i="3" s="1"/>
  <c r="K43" i="3"/>
  <c r="O43" i="3" s="1"/>
  <c r="P43" i="3" s="1"/>
  <c r="K4" i="3"/>
  <c r="L4" i="3" s="1"/>
  <c r="M4" i="3" s="1"/>
  <c r="M8" i="3"/>
  <c r="M15" i="3"/>
  <c r="L7" i="3"/>
  <c r="M7" i="3" s="1"/>
  <c r="L11" i="3"/>
  <c r="M11" i="3" s="1"/>
  <c r="L12" i="3"/>
  <c r="M12" i="3" s="1"/>
  <c r="L14" i="3"/>
  <c r="M14" i="3" s="1"/>
  <c r="L23" i="3"/>
  <c r="M23" i="3" s="1"/>
  <c r="L26" i="3"/>
  <c r="M26" i="3" s="1"/>
  <c r="L27" i="3"/>
  <c r="M27" i="3" s="1"/>
  <c r="L31" i="3"/>
  <c r="M31" i="3" s="1"/>
  <c r="L35" i="3"/>
  <c r="M35" i="3" s="1"/>
  <c r="L39" i="3"/>
  <c r="M39" i="3" s="1"/>
  <c r="Y21" i="4" l="1"/>
  <c r="AC21" i="4"/>
  <c r="AC22" i="4" s="1"/>
  <c r="AC23" i="4" s="1"/>
  <c r="AC24" i="4" s="1"/>
  <c r="U21" i="4"/>
  <c r="U22" i="4" s="1"/>
  <c r="U23" i="4" s="1"/>
  <c r="U24" i="4" s="1"/>
  <c r="Q22" i="4"/>
  <c r="Q23" i="4" s="1"/>
  <c r="M21" i="4"/>
  <c r="M22" i="4" s="1"/>
  <c r="M23" i="4" s="1"/>
  <c r="M24" i="4" s="1"/>
  <c r="E21" i="4"/>
  <c r="I23" i="4"/>
  <c r="I24" i="4" s="1"/>
  <c r="L42" i="3"/>
  <c r="M42" i="3" s="1"/>
  <c r="L30" i="3"/>
  <c r="M30" i="3" s="1"/>
  <c r="L19" i="3"/>
  <c r="M19" i="3" s="1"/>
  <c r="L10" i="3"/>
  <c r="M10" i="3" s="1"/>
  <c r="L43" i="3"/>
  <c r="M43" i="3" s="1"/>
  <c r="L41" i="3"/>
  <c r="M41" i="3" s="1"/>
  <c r="O22" i="3"/>
  <c r="P22" i="3" s="1"/>
  <c r="Q22" i="3" s="1"/>
  <c r="Q43" i="3"/>
  <c r="O38" i="3"/>
  <c r="P38" i="3" s="1"/>
  <c r="Q38" i="3" s="1"/>
  <c r="O6" i="3"/>
  <c r="P6" i="3" s="1"/>
  <c r="Q6" i="3" s="1"/>
  <c r="L25" i="3"/>
  <c r="M25" i="3" s="1"/>
  <c r="P42" i="3"/>
  <c r="Q42" i="3" s="1"/>
  <c r="P26" i="3"/>
  <c r="Q26" i="3" s="1"/>
  <c r="P10" i="3"/>
  <c r="Q10" i="3"/>
  <c r="P41" i="3"/>
  <c r="Q41" i="3" s="1"/>
  <c r="P37" i="3"/>
  <c r="Q37" i="3" s="1"/>
  <c r="P25" i="3"/>
  <c r="Q25" i="3" s="1"/>
  <c r="P21" i="3"/>
  <c r="Q21" i="3" s="1"/>
  <c r="P13" i="3"/>
  <c r="Q13" i="3" s="1"/>
  <c r="O33" i="3"/>
  <c r="O17" i="3"/>
  <c r="O9" i="3"/>
  <c r="L13" i="3"/>
  <c r="M13" i="3" s="1"/>
  <c r="P14" i="3"/>
  <c r="Q14" i="3"/>
  <c r="P30" i="3"/>
  <c r="Q30" i="3" s="1"/>
  <c r="L37" i="3"/>
  <c r="M37" i="3" s="1"/>
  <c r="L21" i="3"/>
  <c r="M21" i="3" s="1"/>
  <c r="P35" i="3"/>
  <c r="Q35" i="3" s="1"/>
  <c r="P31" i="3"/>
  <c r="Q31" i="3"/>
  <c r="P27" i="3"/>
  <c r="Q27" i="3" s="1"/>
  <c r="P23" i="3"/>
  <c r="Q23" i="3" s="1"/>
  <c r="P19" i="3"/>
  <c r="Q19" i="3" s="1"/>
  <c r="P11" i="3"/>
  <c r="Q11" i="3" s="1"/>
  <c r="Q7" i="3"/>
  <c r="O29" i="3"/>
  <c r="O5" i="3"/>
  <c r="P12" i="3"/>
  <c r="Q12" i="3" s="1"/>
  <c r="Q39" i="3"/>
  <c r="O34" i="3"/>
  <c r="O18" i="3"/>
  <c r="O4" i="3"/>
  <c r="O40" i="3"/>
  <c r="O36" i="3"/>
  <c r="O32" i="3"/>
  <c r="O28" i="3"/>
  <c r="O24" i="3"/>
  <c r="O20" i="3"/>
  <c r="O16" i="3"/>
  <c r="Q24" i="4" l="1"/>
  <c r="E22" i="4"/>
  <c r="E23" i="4" s="1"/>
  <c r="M44" i="3"/>
  <c r="P24" i="3"/>
  <c r="Q24" i="3" s="1"/>
  <c r="P40" i="3"/>
  <c r="Q40" i="3" s="1"/>
  <c r="P17" i="3"/>
  <c r="Q17" i="3" s="1"/>
  <c r="P28" i="3"/>
  <c r="Q28" i="3" s="1"/>
  <c r="P4" i="3"/>
  <c r="Q4" i="3" s="1"/>
  <c r="Q33" i="3"/>
  <c r="P33" i="3"/>
  <c r="P16" i="3"/>
  <c r="Q16" i="3" s="1"/>
  <c r="P32" i="3"/>
  <c r="Q32" i="3" s="1"/>
  <c r="P18" i="3"/>
  <c r="Q18" i="3" s="1"/>
  <c r="P5" i="3"/>
  <c r="Q5" i="3" s="1"/>
  <c r="P20" i="3"/>
  <c r="Q20" i="3" s="1"/>
  <c r="P36" i="3"/>
  <c r="Q36" i="3" s="1"/>
  <c r="P34" i="3"/>
  <c r="Q34" i="3" s="1"/>
  <c r="P29" i="3"/>
  <c r="Q29" i="3" s="1"/>
  <c r="P9" i="3"/>
  <c r="Q9" i="3" s="1"/>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I15" i="3"/>
  <c r="H14" i="3"/>
  <c r="I14" i="3" s="1"/>
  <c r="H13" i="3"/>
  <c r="I13" i="3" s="1"/>
  <c r="H12" i="3"/>
  <c r="I12" i="3" s="1"/>
  <c r="H11" i="3"/>
  <c r="I11" i="3" s="1"/>
  <c r="H10" i="3"/>
  <c r="I10" i="3" s="1"/>
  <c r="H9" i="3"/>
  <c r="I9" i="3" s="1"/>
  <c r="I8" i="3"/>
  <c r="H7" i="3"/>
  <c r="I7" i="3" s="1"/>
  <c r="H6" i="3"/>
  <c r="I6" i="3" s="1"/>
  <c r="H5" i="3"/>
  <c r="I5" i="3" s="1"/>
  <c r="H4" i="3"/>
  <c r="I4" i="3" s="1"/>
  <c r="C6" i="2"/>
  <c r="H79" i="1"/>
  <c r="H77" i="1"/>
  <c r="H78" i="1"/>
  <c r="H76" i="1"/>
  <c r="H75" i="1"/>
  <c r="H74" i="1"/>
  <c r="H73" i="1"/>
  <c r="H71" i="1"/>
  <c r="H70" i="1"/>
  <c r="H69" i="1"/>
  <c r="E68" i="1"/>
  <c r="F68" i="1"/>
  <c r="G68" i="1" s="1"/>
  <c r="H68" i="1" s="1"/>
  <c r="H59" i="1"/>
  <c r="G59" i="1"/>
  <c r="F60" i="1"/>
  <c r="G60" i="1" s="1"/>
  <c r="H60" i="1" s="1"/>
  <c r="F59" i="1"/>
  <c r="E64" i="1"/>
  <c r="F64" i="1" s="1"/>
  <c r="E63" i="1"/>
  <c r="F63" i="1" s="1"/>
  <c r="E62" i="1"/>
  <c r="F62" i="1" s="1"/>
  <c r="E61" i="1"/>
  <c r="E67" i="1" s="1"/>
  <c r="F67" i="1" s="1"/>
  <c r="E57" i="1"/>
  <c r="F57" i="1"/>
  <c r="F49" i="1"/>
  <c r="F48" i="1"/>
  <c r="E53" i="1"/>
  <c r="F53" i="1" s="1"/>
  <c r="E52" i="1"/>
  <c r="F52" i="1" s="1"/>
  <c r="E51" i="1"/>
  <c r="F51" i="1" s="1"/>
  <c r="G51" i="1" s="1"/>
  <c r="H51" i="1" s="1"/>
  <c r="E50" i="1"/>
  <c r="E54" i="1" s="1"/>
  <c r="F54" i="1" s="1"/>
  <c r="G54" i="1" s="1"/>
  <c r="H54" i="1" s="1"/>
  <c r="E42" i="1"/>
  <c r="F38" i="1"/>
  <c r="F37" i="1"/>
  <c r="E46" i="1"/>
  <c r="F46" i="1" s="1"/>
  <c r="G46" i="1" s="1"/>
  <c r="E41" i="1"/>
  <c r="E40" i="1"/>
  <c r="F40" i="1" s="1"/>
  <c r="G40" i="1" s="1"/>
  <c r="H40" i="1" s="1"/>
  <c r="E39" i="1"/>
  <c r="E43" i="1" s="1"/>
  <c r="F43" i="1" s="1"/>
  <c r="G43" i="1" s="1"/>
  <c r="F27" i="1"/>
  <c r="H27" i="1" s="1"/>
  <c r="F29" i="1"/>
  <c r="H29" i="1" s="1"/>
  <c r="F30" i="1"/>
  <c r="H30" i="1" s="1"/>
  <c r="F31" i="1"/>
  <c r="H31" i="1" s="1"/>
  <c r="F32" i="1"/>
  <c r="H32" i="1" s="1"/>
  <c r="F33" i="1"/>
  <c r="H33" i="1" s="1"/>
  <c r="F34" i="1"/>
  <c r="H34" i="1" s="1"/>
  <c r="F35" i="1"/>
  <c r="H35" i="1" s="1"/>
  <c r="F26" i="1"/>
  <c r="H26" i="1" s="1"/>
  <c r="E28" i="1"/>
  <c r="F28" i="1" s="1"/>
  <c r="H28" i="1" s="1"/>
  <c r="E20" i="1"/>
  <c r="F20" i="1" s="1"/>
  <c r="G20" i="1" s="1"/>
  <c r="H20" i="1" s="1"/>
  <c r="E19" i="1"/>
  <c r="F19" i="1" s="1"/>
  <c r="G19" i="1" s="1"/>
  <c r="H19" i="1" s="1"/>
  <c r="E18" i="1"/>
  <c r="F18" i="1" s="1"/>
  <c r="G18" i="1" s="1"/>
  <c r="H18" i="1" s="1"/>
  <c r="E17" i="1"/>
  <c r="F17" i="1" s="1"/>
  <c r="G17" i="1" s="1"/>
  <c r="H17" i="1" s="1"/>
  <c r="F16" i="1"/>
  <c r="G16" i="1" s="1"/>
  <c r="F15" i="1"/>
  <c r="E24" i="1"/>
  <c r="F24" i="1" s="1"/>
  <c r="G24" i="1" s="1"/>
  <c r="H24" i="1" s="1"/>
  <c r="E13" i="1"/>
  <c r="E9" i="1"/>
  <c r="E8" i="1"/>
  <c r="E7" i="1"/>
  <c r="E6" i="1"/>
  <c r="E12" i="1" s="1"/>
  <c r="E24" i="4" l="1"/>
  <c r="Q44" i="3"/>
  <c r="I44" i="3"/>
  <c r="F61" i="1"/>
  <c r="G61" i="1" s="1"/>
  <c r="H61" i="1" s="1"/>
  <c r="F50" i="1"/>
  <c r="G50" i="1" s="1"/>
  <c r="H50" i="1" s="1"/>
  <c r="E65" i="1"/>
  <c r="F65" i="1" s="1"/>
  <c r="G65" i="1" s="1"/>
  <c r="E66" i="1"/>
  <c r="F66" i="1" s="1"/>
  <c r="G66" i="1" s="1"/>
  <c r="H66" i="1" s="1"/>
  <c r="G64" i="1"/>
  <c r="H64" i="1" s="1"/>
  <c r="G62" i="1"/>
  <c r="H62" i="1" s="1"/>
  <c r="G63" i="1"/>
  <c r="H63" i="1" s="1"/>
  <c r="G67" i="1"/>
  <c r="H67" i="1" s="1"/>
  <c r="G49" i="1"/>
  <c r="H49" i="1" s="1"/>
  <c r="G53" i="1"/>
  <c r="H53" i="1" s="1"/>
  <c r="G57" i="1"/>
  <c r="H57" i="1" s="1"/>
  <c r="G48" i="1"/>
  <c r="H48" i="1" s="1"/>
  <c r="G52" i="1"/>
  <c r="H52" i="1" s="1"/>
  <c r="E44" i="1"/>
  <c r="F44" i="1" s="1"/>
  <c r="G44" i="1" s="1"/>
  <c r="H43" i="1"/>
  <c r="H46" i="1"/>
  <c r="F41" i="1"/>
  <c r="G41" i="1" s="1"/>
  <c r="G37" i="1"/>
  <c r="H37" i="1" s="1"/>
  <c r="G38" i="1"/>
  <c r="H38" i="1" s="1"/>
  <c r="E55" i="1"/>
  <c r="F55" i="1" s="1"/>
  <c r="G55" i="1" s="1"/>
  <c r="H55" i="1" s="1"/>
  <c r="E45" i="1"/>
  <c r="E56" i="1"/>
  <c r="F56" i="1" s="1"/>
  <c r="G56" i="1" s="1"/>
  <c r="H56" i="1" s="1"/>
  <c r="F39" i="1"/>
  <c r="F42" i="1"/>
  <c r="G42" i="1" s="1"/>
  <c r="H36" i="1"/>
  <c r="G15" i="1"/>
  <c r="H15" i="1" s="1"/>
  <c r="H16" i="1"/>
  <c r="E23" i="1"/>
  <c r="F23" i="1" s="1"/>
  <c r="G23" i="1" s="1"/>
  <c r="H23" i="1" s="1"/>
  <c r="E21" i="1"/>
  <c r="F21" i="1" s="1"/>
  <c r="G21" i="1" s="1"/>
  <c r="H21" i="1" s="1"/>
  <c r="E22" i="1"/>
  <c r="F22" i="1" s="1"/>
  <c r="G22" i="1" s="1"/>
  <c r="H22" i="1" s="1"/>
  <c r="E10" i="1"/>
  <c r="F10" i="1" s="1"/>
  <c r="G10" i="1" s="1"/>
  <c r="H10" i="1" s="1"/>
  <c r="E11" i="1"/>
  <c r="F11" i="1" s="1"/>
  <c r="F5" i="1"/>
  <c r="F6" i="1"/>
  <c r="G6" i="1" s="1"/>
  <c r="H6" i="1" s="1"/>
  <c r="F7" i="1"/>
  <c r="F8" i="1"/>
  <c r="F9" i="1"/>
  <c r="F12" i="1"/>
  <c r="F13" i="1"/>
  <c r="G13" i="1" s="1"/>
  <c r="H13" i="1" s="1"/>
  <c r="F4" i="1"/>
  <c r="G4" i="1" s="1"/>
  <c r="K46" i="3" l="1"/>
  <c r="H58" i="1"/>
  <c r="H25" i="1"/>
  <c r="H65" i="1"/>
  <c r="H44" i="1"/>
  <c r="H41" i="1"/>
  <c r="G39" i="1"/>
  <c r="H39" i="1" s="1"/>
  <c r="F45" i="1"/>
  <c r="G45" i="1" s="1"/>
  <c r="H42" i="1"/>
  <c r="H4" i="1"/>
  <c r="G12" i="1"/>
  <c r="H12" i="1" s="1"/>
  <c r="G11" i="1"/>
  <c r="H11" i="1" s="1"/>
  <c r="G9" i="1"/>
  <c r="H9" i="1" s="1"/>
  <c r="G8" i="1"/>
  <c r="H8" i="1" s="1"/>
  <c r="G7" i="1"/>
  <c r="H7" i="1" s="1"/>
  <c r="G5" i="1"/>
  <c r="H5" i="1" s="1"/>
  <c r="H14" i="1" l="1"/>
  <c r="H45" i="1"/>
  <c r="H47" i="1"/>
  <c r="Y22" i="4" l="1"/>
  <c r="Y23" i="4" s="1"/>
  <c r="Y24" i="4" l="1"/>
  <c r="Q26" i="4" s="1"/>
</calcChain>
</file>

<file path=xl/sharedStrings.xml><?xml version="1.0" encoding="utf-8"?>
<sst xmlns="http://schemas.openxmlformats.org/spreadsheetml/2006/main" count="525" uniqueCount="276">
  <si>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</si>
  <si>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</si>
  <si>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</si>
  <si>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</si>
  <si>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</si>
  <si>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</si>
  <si>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</si>
  <si>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</si>
  <si>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</si>
  <si>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</si>
  <si>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</si>
  <si>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</si>
  <si>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</si>
  <si>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</si>
  <si>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</si>
  <si>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</si>
  <si>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</si>
  <si>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</si>
  <si>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</si>
  <si>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</si>
  <si>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</si>
  <si>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</si>
  <si>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</si>
  <si>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</si>
  <si>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</si>
  <si>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</si>
  <si>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</si>
  <si>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</si>
  <si>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</si>
  <si>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</si>
  <si>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</si>
  <si>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</si>
  <si>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</si>
  <si>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</si>
  <si>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</si>
  <si>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</si>
  <si>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</si>
  <si>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</si>
  <si>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</si>
  <si>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</si>
  <si>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</si>
  <si>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</si>
  <si>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</si>
  <si>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</si>
  <si>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</si>
  <si>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</si>
  <si>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</si>
  <si>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</si>
  <si>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</si>
  <si>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</si>
  <si>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</si>
  <si>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</si>
  <si>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</si>
  <si>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</si>
  <si>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</si>
  <si>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</si>
  <si>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</si>
  <si>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</si>
  <si>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</si>
  <si>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</si>
  <si>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</si>
  <si>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</si>
  <si>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</si>
  <si>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</si>
  <si>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</si>
  <si>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</si>
  <si>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</si>
  <si>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</si>
  <si>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</si>
  <si>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</si>
  <si>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</si>
  <si>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</si>
  <si>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</si>
  <si>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</si>
  <si>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</si>
  <si>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</si>
  <si>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</si>
  <si>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</si>
  <si>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</si>
  <si>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</si>
  <si>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</si>
  <si>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</si>
  <si>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</si>
  <si>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</si>
  <si>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</si>
  <si>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</si>
  <si>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</si>
  <si>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</si>
  <si>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</si>
  <si>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</si>
  <si>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</si>
  <si>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</si>
  <si>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</si>
  <si>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</si>
  <si>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</si>
  <si>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</si>
  <si>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</si>
  <si>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</si>
  <si>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</si>
  <si>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</si>
  <si>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</si>
  <si>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</si>
  <si>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</si>
  <si>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</si>
  <si>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</si>
  <si>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</si>
  <si>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</si>
  <si>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</si>
  <si>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</si>
  <si>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</si>
  <si>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</si>
  <si>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</si>
  <si>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</si>
  <si>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</si>
  <si>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</si>
  <si>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</si>
  <si>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</si>
  <si>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</si>
  <si>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</si>
  <si>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</si>
  <si>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</si>
  <si>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</si>
  <si>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</si>
  <si>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</si>
  <si>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</si>
  <si>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</si>
  <si>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</si>
  <si>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</si>
  <si>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</si>
  <si>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</si>
  <si>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</si>
  <si>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</si>
  <si>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</si>
  <si>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</si>
  <si>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</si>
  <si>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</si>
  <si>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</si>
  <si>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</si>
  <si>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</si>
  <si>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</si>
  <si>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</si>
  <si>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</si>
  <si>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</si>
  <si>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</si>
  <si>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</si>
  <si>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</si>
  <si>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</si>
  <si>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</si>
  <si>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</si>
  <si>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</si>
  <si>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</si>
  <si>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</si>
  <si>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</si>
  <si>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</si>
  <si>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</si>
  <si>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</si>
  <si>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</si>
  <si>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</si>
  <si>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</si>
  <si>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</si>
  <si>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</si>
  <si>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</si>
  <si>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</si>
  <si>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</si>
  <si>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</si>
  <si>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</si>
  <si>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</si>
  <si>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</si>
  <si>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</si>
  <si>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</si>
  <si>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</si>
  <si>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</si>
  <si>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</si>
  <si>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</si>
  <si>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</si>
  <si>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</si>
  <si>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</si>
  <si>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</si>
  <si>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</si>
  <si>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</si>
  <si>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</si>
  <si>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</si>
  <si>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</si>
  <si>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</si>
  <si>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</si>
  <si>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</si>
  <si>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</si>
  <si>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</si>
  <si>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</si>
  <si>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</si>
  <si>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</si>
  <si>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AIU 
__ %</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</si>
  <si>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</si>
  <si>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</si>
  <si>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</si>
  <si>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</si>
  <si>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</si>
  <si>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</si>
  <si>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</si>
  <si>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</si>
  <si>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</si>
  <si>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</si>
  <si>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</si>
  <si>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</si>
  <si>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</si>
  <si>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</si>
  <si>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</si>
  <si>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</si>
  <si>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OBSERVACIONES</t>
  </si>
  <si>
    <t>En la propuesta consignan valor neto mensual la suma de $$1.068.480, existiendo una diferencia en contra del Icetex de $3</t>
  </si>
  <si>
    <t>En la propuesta consignan valor neto mensual la suma de $$11.505.520; existiendo una diferencia en contra del ICETEX de $6</t>
  </si>
  <si>
    <t>En la propuesta consignan valor neto mensual la suma de $128.272, existiendo una diferencia en contra del Icetex de $3</t>
  </si>
  <si>
    <t>En la propuesta consignan valor neto mensual la suma de $$460.208, existiendo a favor del ICETEX una diferencia de $13</t>
  </si>
  <si>
    <t>En la propuesta consignan valor neto mensual la suma de $479.776, existiendo una diferencia en contra del Icetex de $4</t>
  </si>
  <si>
    <t>En la propuesta consignan valor neto mensual la suma de $17.532.864, existiendo una diferencia en contra del Icetex de $4</t>
  </si>
  <si>
    <t>En la propuesta económica consignan por valor neto mensual la suma de $8.264.433, existiendo una diferencia a favor del Icetex de $5,155</t>
  </si>
  <si>
    <t>En la propuesta económica consignan por valor neto mensual la suma de $10.162.681, existiendo una diferencia a favor del Icetex de $6,339</t>
  </si>
  <si>
    <t>En la propuesta económica consignan por valor neto mensual la suma de $1.983.464, existiendo una diferencia a favor del Icetex de $1,237</t>
  </si>
  <si>
    <t>En la propuesta económica consignan por valor neto mensual la suma de $172,561, existiendo una diferencia a favor del Icetex de $108</t>
  </si>
  <si>
    <t>En la propuesta económica consignan por valor neto mensual la suma de $661.155, existiendo una diferencia a favor del Icetex de $412</t>
  </si>
  <si>
    <t>En la propuesta económica consignan por valor neto mensual la suma de $846.551, existiendo una diferencia a favor del Icetex de $528</t>
  </si>
  <si>
    <t>En la propuesta económica consignan por valor neto mensual la suma de $101,627, existiendo una diferencia a favor del Icetex de $63</t>
  </si>
  <si>
    <t>En la propuesta económica consignan por valor neto mensual la suma de $846,551, existiendo una diferencia a favor del Icetex de $528</t>
  </si>
  <si>
    <t>En la propuesta económica consignan por valor neto mensual la suma de $344,627, existiendo una diferencia a favor del Icetex de $215</t>
  </si>
  <si>
    <t>En la propuesta económica consignan por valor neto mensual la suma de $15.119.216, existiendo una diferencia a favor del Icetex de $9432</t>
  </si>
  <si>
    <t>N/A</t>
  </si>
  <si>
    <t>En la propuesta económica consignan por valor neto mensual la suma de $36,301, existiendo una diferencia a favor del Icetex de $1</t>
  </si>
  <si>
    <t>En la propuesta económica consignan por valor neto mensual la suma de $648,336, existiendo una diferencia a favor del Icetex de $1</t>
  </si>
  <si>
    <t>En la propuesta económica consignan por valor neto mensual la suma de $1,801,985, existiendo una diferencia a favor del Icetex de $1</t>
  </si>
  <si>
    <t>En la propuesta económica consignan por valor neto mensual la suma de $90,545, existiendo una diferencia a favor del Icetex de $1</t>
  </si>
  <si>
    <t>En la propuesta económica consignan por valor neto mensual la suma de $1,492,017, existiendo una diferencia a favor del Icetex de $2</t>
  </si>
  <si>
    <t>En la propuesta económica consignan por valor neto mensual la suma de $28,389,952, existiendo una diferencia a favor del Icetex de $9,472</t>
  </si>
  <si>
    <t>En la propuesta económica consignan por valor neto mensual la suma de $273,821,808, existiendo una diferencia a favor del Icetex de $65.979</t>
  </si>
  <si>
    <t>En la propuesta económica consignan por valor neto mensual la suma de $43,764,531, existiendo una diferencia a favor del Icetex de $14,601</t>
  </si>
  <si>
    <t>En la propuesta económica consignan por valor neto mensual la suma de $429,872,857, existiendo una diferencia a favor del Icetex de $103,580</t>
  </si>
  <si>
    <t>En la propuesta económica consignan por valor neto mensual la suma de $14,992,269, existiendo una diferencia a favor del Icetex de $5002</t>
  </si>
  <si>
    <t>En la propuesta económica consignan por valor neto mensual la suma de $149,968,311, existiendo una diferencia a favor del Icetex de $36,135</t>
  </si>
  <si>
    <t>En la propuesta económica consignan por valor neto mensual la suma de $4,153,633, existiendo una diferencia en contra del Icetex de $35,662</t>
  </si>
  <si>
    <t>En la propuesta económica consignan por valor neto mensual la suma de $964,715,292, existiendo una diferencia a favor del Icetex de $199,108</t>
  </si>
  <si>
    <t>Artículo 22 de la Ley 47 de 1993</t>
  </si>
  <si>
    <t xml:space="preserve">b) Las ventas con destino al territorio del Departamento Archipiélago de bienes producidos o importados en el resto del territorio nacional, lo cual se acreditará con el respectivo conocimiento del embarque o guía aérea; 
prestación de servicios destinados o realizados en el territorio del Departamento del Archipiélago. </t>
  </si>
  <si>
    <t>Artículo 270 de la Ley 223 de 1995</t>
  </si>
  <si>
    <t>a) La venta de bienes realizada dentro del territorio del Departamento del Amazonas
b) La prestación de servicios realizados en el territorio del Departamento del Amazonas.</t>
  </si>
  <si>
    <t>Archipiélago de San Andrés</t>
  </si>
  <si>
    <t>VALOR 01 MAYO AL 31 DE DICIEMBRE DE 2015 *</t>
  </si>
  <si>
    <t>Archiélago de San Andrés</t>
  </si>
  <si>
    <t xml:space="preserve">NOTA 1 DEL EVALUADOR: El proponente dentro del Anexo No. 17 tuvo en cuenta las disposiciones relacionadas con la exclusión del IVA en los municipios de San Andrés Islas y Leticia. </t>
  </si>
  <si>
    <t xml:space="preserve">NOTA 2 DEL EVALUADOR: </t>
  </si>
  <si>
    <t xml:space="preserve">NOTA 2 DEL EVALUADOR: Se deja constancia que la Entidad al momento de validar la propuesta empleó para la formulación de las celdas dos decimales. </t>
  </si>
  <si>
    <t xml:space="preserve">NOTA 2 DEL EVALUADOR: Una vez verificada la oferta económica, se evidenció que el proponente para los cálculos de los precios unitarios entre las vigencias realizó el incrementó del 3,66% autorizado por la Entidad en el numeral 5.9.4.1 Propuesta Económica de la adenda No. 03.  </t>
  </si>
  <si>
    <t xml:space="preserve">NOTA 3 DEL EVALUADOR: Se deja constancia que la Entidad al momento de validar la propuesta empleó para la formulación de las celdas dos decimales. </t>
  </si>
  <si>
    <t xml:space="preserve">NOTA 3 DEL EVALUADOR: De conformidad con la nota relacionada con la aproximación de decimales, y la verificación de la propuesta económica, se evidencia que el proponente ofertó la suma de $149,021,657, existiendo una diferencia entre lo ofertado y lo validado por la Entidad de CUATRO MIL OCHOCIENTOS NUEVE PESOS MCTE ($4.809). 
Igualmente se deja constancia que la Entidad al momento de validar la propuesta empleó para la formulación de las celdas dos decimales. </t>
  </si>
  <si>
    <t xml:space="preserve">NOTA 1 DEL EVALUADOR: Una vez verificada la oferta económica, se evidenció que el proponente para los cálculos de los precios unitarios entre las vigencias realizó el incrementó del 3,66% autorizado por la Entidad en el numeral 5.9.4.1 Propuesta Económica de la adenda No. 03.  </t>
  </si>
  <si>
    <t>VALOR TOTAL ERRORES ARITMÉTICOS EN LA DETERMINACIÓN DEL VALOR TOTAL DE LA PROPUESTA ECONÓMICA</t>
  </si>
  <si>
    <t xml:space="preserve">NOTA 1 DEL EVALUADOR. Uno por ciento (1%) del valor total de la Oferta Económica: </t>
  </si>
  <si>
    <t xml:space="preserve">Valor del error aritmético en la determinación del valor del recurso humano, por una suma igual a: </t>
  </si>
  <si>
    <t xml:space="preserve">Valor del error aritmético en la determinación del valor de los insumos de aseo y cafetería, por una suma igual a: </t>
  </si>
  <si>
    <t xml:space="preserve">Valor del error aritmético en la determinación del valor del servicio de fumigación, por una suma igual a: </t>
  </si>
  <si>
    <t xml:space="preserve">Valor del error aritmético en la determinación del valor del servicio de lavado de vidrios de fachada, por una suma igual a: </t>
  </si>
  <si>
    <t xml:space="preserve">Valor del error aritmético en la determinación del valor del alquiler de equipos y elementos mínimo, por una suma igual a: </t>
  </si>
  <si>
    <t xml:space="preserve">NOTA 3 DEL EVALUADOR: Teniendo en cuenta que el valor total de los errores aritméticos no supera el 1%  del valor total de la oferta económica, la propuesta NO será rechazada por esta causal en particular. </t>
  </si>
  <si>
    <t>VALOR TOTAL PROPUESTA ECONÓMICA</t>
  </si>
  <si>
    <t>MIL QUINIENTOS NOVENTA Y OCHO MILLONES SEISCIENTOS TREINTA Y DOS MIL SETECIENTOS CUARENTA Y NUEVE PESOS MCTE</t>
  </si>
  <si>
    <t xml:space="preserve">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maquinaria ,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alquiler de equipos y elementos. 
</t>
  </si>
  <si>
    <t xml:space="preserve">
NOTA 3 DEL EVALUADOR: A pesar de que el proponente relaciona el artículo 270 de la Ley 223 de 1995, se observa que en el Anexo No. 10 al momento de ofertar únicamente excluye del IVA al servicio a prestar en el punto de atención del Icetex ubicado en San Andrés Islas, sin incluir el servicio a atender en el municipio de Leticia.  </t>
  </si>
  <si>
    <t>NOTA 1 DEL EVALUADOR: El proponente dentro del Anexo No. 17 tuvo en cuenta las disposiciones relacionadas con la exclusión del IVA en el municipio de San Andrés Islas; No obstante, al revisar lo ofertado por el proponente para el "Agua Potable", se observa que a pesar de que el agua envasada se encuentra EXCLUIDO de IVA de conformidad con el Art. 424 del Estatuto Tributario, ofertó el botellón de agua con el impuesto sobre las ventas.
En virtud de lo anterior, y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t>
  </si>
  <si>
    <t xml:space="preserve">NOTA 2 DEL EVALUADOR: Sin perjuicio de lo señalado en la NOTA 1, se verificó a través de una muestra  que el proponente para los cálculos de los precios unitarios de los insumos de aseo y cafetería entre las vigencias realizó el incrementó del 3,66% autorizado por la Entidad en el literal d) del subnumeral (vii) del numeral 5.9.4.1 Propuesta Económica de la adenda No. 03.  </t>
  </si>
  <si>
    <t xml:space="preserve">NOTA 4 DEL EVALUADOR: Sin perjuicio de lo señalado en la NOTA 1, se deja constancia que de conformidad con el artículo 270 de la Ley 223 de 1995, y de acuerdo con la oferta económica en lo relativo al suministro de insumos de aseo y cafetería en el municipio de Leticia, el proponente no aplica IVA, lo cual se acepta bajo el entendido de que el proponente realizaría la compra de dichos insumos de forma directa en el Departamento del Amazonas. </t>
  </si>
  <si>
    <r>
      <t xml:space="preserve">NOTA 2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t>
    </r>
    <r>
      <rPr>
        <b/>
        <u/>
        <sz val="9"/>
        <color theme="1"/>
        <rFont val="Arial Narrow"/>
        <family val="2"/>
      </rPr>
      <t>SE RECHAZA LA PROPUESTA</t>
    </r>
    <r>
      <rPr>
        <b/>
        <sz val="9"/>
        <color theme="1"/>
        <rFont val="Arial Narrow"/>
        <family val="2"/>
      </rPr>
      <t xml:space="preserve">, por cuanto el proponente calculó el IVA sobre el servicio que presta la operaria de medio tiempo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aseo a través de una operario de medio tiempo. 
</t>
    </r>
  </si>
  <si>
    <t xml:space="preserve">NOTA 4 DEL EVALUADOR: Una vez verificada la oferta económica, se evidenció que el proponente para los cálculos de los precios unitarios entre las vigencias realizó los porcentajes de incrementó autorizado por la Entidad en el literal a), b) y c) del subnumeral (vii) del numeral 5.9.4.1 Propuesta Económica de la adenda No. 03. </t>
  </si>
  <si>
    <t>ARCHIPIÉLAGO DE SAN ANDRÉS ISLAS, LETICIA</t>
  </si>
  <si>
    <t>OTRAS CIUDADES (Arauca, Cartagena, Tunja, Manizales, Popayán, Valledupar, Quibdó, Montería, Neiva, Santa Marta, Villavicencio, Pasto, Cúcuta, Armenia, Pereira, San Gil, Sincelejo, Ibague, Riohacha, Yopal, Barrancabermeja, Mocoa)</t>
  </si>
  <si>
    <t xml:space="preserve">NOTA 3 DEL EVALUADOR: El ICETEX para la verificación de la oferta, tomó los valores unitarios brutos y realizó el ejercicio de liquidación que consta en esta evaluación. </t>
  </si>
  <si>
    <t xml:space="preserve">NOTA 4 DEL EVALUADOR: El ICETEX para la verificación de la oferta, tomó los valores unitarios brutos y realizó el ejercicio de liquidación que consta en esta evaluación. </t>
  </si>
  <si>
    <t xml:space="preserve">NOTA 5 DEL EVALUADOR: Se deja constancia que la Entidad al momento de validar la propuesta empleó para la formulación de las celdas dos decimales. </t>
  </si>
  <si>
    <t xml:space="preserve">NOTA 1 DEL EVALUADOR: 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</si>
</sst>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8" formatCode="&quot;$&quot;\ #,##0.00_);[Red]\(&quot;$&quot;\ #,##0.00\)"/>
    <numFmt numFmtId="43" formatCode="_(* #,##0.00_);_(* \(#,##0.00\);_(* &quot;-&quot;??_);_(@_)"/>
    <numFmt numFmtId="164" formatCode="_(&quot;$&quot;* #,##0.00_);_(&quot;$&quot;* \(#,##0.00\);_(&quot;$&quot;* &quot;-&quot;??_);_(@_)"/>
    <numFmt numFmtId="165" formatCode="_(&quot;$&quot;* #,##0_);_(&quot;$&quot;* \(#,##0\);_(&quot;$&quot;* &quot;-&quot;??_);_(@_)"/>
    <numFmt numFmtId="166" formatCode="#,##0.000"/>
  </numFmts>
  <fonts count="23"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u/>
      <sz val="9"/>
      <color theme="1"/>
      <name val="Arial Narrow"/>
      <family val="2"/>
    </font>
    <font>
      <b/>
      <sz val="9"/>
      <name val="Arial Narrow"/>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0" fillId="0" borderId="0" applyFont="0" applyFill="0" applyBorder="0" applyAlignment="0" applyProtection="0"/>
  </cellStyleXfs>
  <cellXfs count="220">
    <xf numFmtId="0" fontId="0" fillId="0" borderId="0" xfId="0"/>
    <xf numFmtId="0" fontId="6" fillId="0" borderId="0" xfId="0" applyFont="1"/>
    <xf numFmtId="0" fontId="6" fillId="0" borderId="12" xfId="0" applyFont="1" applyBorder="1"/>
    <xf numFmtId="0" fontId="4" fillId="0" borderId="12"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9" fontId="7" fillId="0" borderId="12" xfId="0" applyNumberFormat="1" applyFont="1" applyBorder="1" applyAlignment="1">
      <alignment horizontal="justify" vertical="center" wrapText="1"/>
    </xf>
    <xf numFmtId="0" fontId="7" fillId="0" borderId="12" xfId="0" applyFont="1" applyBorder="1" applyAlignment="1">
      <alignment horizontal="justify" vertical="center" wrapText="1"/>
    </xf>
    <xf numFmtId="0" fontId="4" fillId="0" borderId="12" xfId="0" applyFont="1" applyBorder="1" applyAlignment="1">
      <alignment horizontal="justify" vertical="center"/>
    </xf>
    <xf numFmtId="0" fontId="10" fillId="0" borderId="0" xfId="0" applyFont="1" applyAlignment="1">
      <alignment horizontal="justify" vertical="center" wrapText="1"/>
    </xf>
    <xf numFmtId="0" fontId="6" fillId="2" borderId="0" xfId="0" applyFont="1" applyFill="1" applyBorder="1"/>
    <xf numFmtId="0" fontId="6" fillId="2" borderId="12" xfId="0" applyFont="1" applyFill="1" applyBorder="1" applyAlignment="1">
      <alignment horizontal="justify" vertical="center" wrapText="1"/>
    </xf>
    <xf numFmtId="0" fontId="6" fillId="2" borderId="12" xfId="0" applyFont="1" applyFill="1" applyBorder="1" applyAlignment="1">
      <alignment vertical="top"/>
    </xf>
    <xf numFmtId="0" fontId="6" fillId="2" borderId="0" xfId="0" applyFont="1" applyFill="1" applyBorder="1" applyAlignment="1">
      <alignment horizontal="justify" vertical="center" wrapText="1"/>
    </xf>
    <xf numFmtId="165" fontId="5" fillId="2" borderId="12" xfId="2" applyNumberFormat="1" applyFont="1" applyFill="1" applyBorder="1" applyAlignment="1">
      <alignment horizontal="center" vertical="center" wrapText="1"/>
    </xf>
    <xf numFmtId="0" fontId="0" fillId="0" borderId="0" xfId="0" applyBorder="1"/>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9" fillId="0" borderId="0" xfId="0" applyFont="1" applyBorder="1" applyAlignment="1">
      <alignment horizontal="justify" vertical="center"/>
    </xf>
    <xf numFmtId="0" fontId="14" fillId="4" borderId="12" xfId="0" applyFont="1" applyFill="1" applyBorder="1" applyAlignment="1">
      <alignment horizontal="center" vertical="center" wrapText="1"/>
    </xf>
    <xf numFmtId="0" fontId="14" fillId="4" borderId="12" xfId="0" applyFont="1" applyFill="1" applyBorder="1" applyAlignment="1">
      <alignment horizontal="justify" vertical="center" wrapText="1"/>
    </xf>
    <xf numFmtId="0" fontId="10" fillId="5" borderId="12" xfId="0" applyFont="1" applyFill="1" applyBorder="1" applyAlignment="1">
      <alignment horizontal="justify" vertical="center" wrapText="1"/>
    </xf>
    <xf numFmtId="0" fontId="10" fillId="0" borderId="12" xfId="0" applyFont="1" applyBorder="1" applyAlignment="1">
      <alignment horizontal="center" vertical="center"/>
    </xf>
    <xf numFmtId="0" fontId="10" fillId="0" borderId="12" xfId="0" applyFont="1" applyBorder="1" applyAlignment="1">
      <alignment horizontal="center" vertical="center" wrapText="1"/>
    </xf>
    <xf numFmtId="0" fontId="0" fillId="0" borderId="12"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6" xfId="0" applyFont="1" applyBorder="1"/>
    <xf numFmtId="0" fontId="0" fillId="0" borderId="15" xfId="0" applyBorder="1" applyAlignment="1">
      <alignment vertical="top"/>
    </xf>
    <xf numFmtId="0" fontId="0" fillId="0" borderId="11" xfId="0" applyBorder="1"/>
    <xf numFmtId="0" fontId="12" fillId="0" borderId="0" xfId="0" applyFont="1" applyBorder="1"/>
    <xf numFmtId="0" fontId="17"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2" xfId="0" applyFont="1" applyBorder="1" applyAlignment="1">
      <alignment horizontal="justify"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0" fontId="17" fillId="0" borderId="0" xfId="0" applyFont="1" applyBorder="1" applyAlignment="1">
      <alignment horizontal="justify" vertical="top" wrapText="1"/>
    </xf>
    <xf numFmtId="0" fontId="18" fillId="0" borderId="12" xfId="0" applyFont="1" applyBorder="1" applyAlignment="1">
      <alignment horizontal="justify" vertical="center" wrapText="1"/>
    </xf>
    <xf numFmtId="0" fontId="17" fillId="0" borderId="12" xfId="0" applyFont="1" applyBorder="1" applyAlignment="1">
      <alignment horizontal="justify" vertical="top" wrapText="1"/>
    </xf>
    <xf numFmtId="0" fontId="17" fillId="0" borderId="13" xfId="0" applyFont="1" applyBorder="1" applyAlignment="1">
      <alignment horizontal="justify" vertical="center" wrapText="1"/>
    </xf>
    <xf numFmtId="0" fontId="0" fillId="0" borderId="0" xfId="0" applyAlignment="1">
      <alignment vertical="top"/>
    </xf>
    <xf numFmtId="0" fontId="10" fillId="0" borderId="12" xfId="0" applyFont="1" applyBorder="1" applyAlignment="1">
      <alignment horizontal="justify" vertical="top" wrapText="1"/>
    </xf>
    <xf numFmtId="0" fontId="11" fillId="0" borderId="0" xfId="0" applyFont="1" applyBorder="1" applyAlignment="1">
      <alignment vertical="center" wrapText="1"/>
    </xf>
    <xf numFmtId="0" fontId="11" fillId="0" borderId="12" xfId="0" applyFont="1" applyBorder="1" applyAlignment="1">
      <alignment horizontal="center" vertical="center" wrapText="1"/>
    </xf>
    <xf numFmtId="0" fontId="11" fillId="0" borderId="12" xfId="0" applyFont="1" applyBorder="1" applyAlignment="1">
      <alignment vertical="center" wrapText="1"/>
    </xf>
    <xf numFmtId="0" fontId="11"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6" fillId="0" borderId="0" xfId="0" applyFont="1" applyAlignment="1">
      <alignment vertical="top" wrapText="1"/>
    </xf>
    <xf numFmtId="0" fontId="6" fillId="0" borderId="0" xfId="0" applyFont="1" applyBorder="1"/>
    <xf numFmtId="0" fontId="13" fillId="0" borderId="0" xfId="0" applyFont="1" applyAlignment="1">
      <alignment vertical="center" wrapText="1"/>
    </xf>
    <xf numFmtId="0" fontId="19" fillId="0" borderId="12" xfId="0" applyFont="1" applyBorder="1" applyAlignment="1">
      <alignment horizontal="left" vertical="center"/>
    </xf>
    <xf numFmtId="165" fontId="5" fillId="2" borderId="0" xfId="2" applyNumberFormat="1" applyFont="1" applyFill="1" applyBorder="1" applyAlignment="1">
      <alignment horizontal="center" vertical="top" wrapText="1"/>
    </xf>
    <xf numFmtId="0" fontId="8" fillId="2" borderId="12" xfId="0" applyFont="1" applyFill="1" applyBorder="1" applyAlignment="1">
      <alignment horizontal="center"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vertical="top"/>
    </xf>
    <xf numFmtId="0" fontId="0" fillId="0" borderId="4" xfId="0" applyBorder="1"/>
    <xf numFmtId="0" fontId="4" fillId="0" borderId="12" xfId="0" applyFont="1" applyBorder="1" applyAlignment="1">
      <alignment horizontal="justify" vertical="center" wrapText="1"/>
    </xf>
    <xf numFmtId="0" fontId="7" fillId="0" borderId="12" xfId="0" applyFont="1" applyBorder="1" applyAlignment="1">
      <alignment horizontal="justify" vertical="center" wrapText="1"/>
    </xf>
    <xf numFmtId="0" fontId="4" fillId="0" borderId="12" xfId="0" applyFont="1" applyBorder="1" applyAlignment="1">
      <alignment horizontal="center" vertical="center" wrapText="1"/>
    </xf>
    <xf numFmtId="0" fontId="13" fillId="0" borderId="0" xfId="0" applyFont="1" applyAlignment="1">
      <alignment horizontal="left" vertical="center" wrapText="1"/>
    </xf>
    <xf numFmtId="3" fontId="4" fillId="0" borderId="12" xfId="0" applyNumberFormat="1" applyFont="1" applyBorder="1" applyAlignment="1">
      <alignment horizontal="justify" vertical="center" wrapText="1"/>
    </xf>
    <xf numFmtId="10" fontId="7" fillId="0" borderId="12" xfId="0" applyNumberFormat="1" applyFont="1" applyBorder="1" applyAlignment="1">
      <alignment horizontal="justify" vertical="center" wrapText="1"/>
    </xf>
    <xf numFmtId="6" fontId="6" fillId="0" borderId="0" xfId="0" applyNumberFormat="1" applyFont="1"/>
    <xf numFmtId="3" fontId="6" fillId="0" borderId="12" xfId="0" applyNumberFormat="1" applyFont="1" applyBorder="1"/>
    <xf numFmtId="4" fontId="7" fillId="0" borderId="12" xfId="0" applyNumberFormat="1" applyFont="1" applyBorder="1" applyAlignment="1">
      <alignment horizontal="left" vertical="center" wrapText="1"/>
    </xf>
    <xf numFmtId="0" fontId="7" fillId="0" borderId="12" xfId="0" applyFont="1" applyBorder="1" applyAlignment="1">
      <alignment horizontal="justify" vertical="center"/>
    </xf>
    <xf numFmtId="3" fontId="6" fillId="0" borderId="0" xfId="0" applyNumberFormat="1" applyFont="1"/>
    <xf numFmtId="3" fontId="6" fillId="2" borderId="12" xfId="0" applyNumberFormat="1" applyFont="1" applyFill="1" applyBorder="1" applyAlignment="1">
      <alignment vertical="top"/>
    </xf>
    <xf numFmtId="0" fontId="13" fillId="0" borderId="12" xfId="0" applyFont="1" applyBorder="1" applyAlignment="1">
      <alignment horizontal="justify" vertical="center" wrapText="1"/>
    </xf>
    <xf numFmtId="0" fontId="6" fillId="0" borderId="12" xfId="0" applyFont="1" applyBorder="1" applyAlignment="1">
      <alignment wrapText="1"/>
    </xf>
    <xf numFmtId="0" fontId="8" fillId="2" borderId="0" xfId="0" applyFont="1" applyFill="1" applyBorder="1"/>
    <xf numFmtId="3" fontId="0" fillId="0" borderId="0" xfId="0" applyNumberFormat="1" applyBorder="1"/>
    <xf numFmtId="3" fontId="9" fillId="0" borderId="12" xfId="0" applyNumberFormat="1" applyFont="1" applyBorder="1" applyAlignment="1">
      <alignment horizontal="justify" vertical="top"/>
    </xf>
    <xf numFmtId="3" fontId="2" fillId="0" borderId="0" xfId="0" applyNumberFormat="1" applyFont="1" applyBorder="1"/>
    <xf numFmtId="0" fontId="0" fillId="0" borderId="6" xfId="0" applyBorder="1"/>
    <xf numFmtId="1" fontId="6" fillId="2" borderId="0" xfId="0" applyNumberFormat="1" applyFont="1" applyFill="1" applyBorder="1"/>
    <xf numFmtId="4" fontId="7" fillId="0" borderId="12" xfId="0" applyNumberFormat="1" applyFont="1" applyBorder="1" applyAlignment="1">
      <alignment horizontal="justify" vertical="center" wrapText="1"/>
    </xf>
    <xf numFmtId="4" fontId="10" fillId="0" borderId="12" xfId="0" applyNumberFormat="1" applyFont="1" applyBorder="1" applyAlignment="1">
      <alignment horizontal="justify" vertical="center"/>
    </xf>
    <xf numFmtId="166" fontId="10" fillId="0" borderId="12" xfId="0" applyNumberFormat="1" applyFont="1" applyBorder="1" applyAlignment="1">
      <alignment horizontal="justify" vertical="center"/>
    </xf>
    <xf numFmtId="4" fontId="1" fillId="0" borderId="12" xfId="0" applyNumberFormat="1" applyFont="1" applyBorder="1" applyAlignment="1">
      <alignment vertical="top"/>
    </xf>
    <xf numFmtId="0" fontId="13" fillId="0" borderId="12" xfId="0" applyFont="1" applyBorder="1" applyAlignment="1">
      <alignment horizontal="justify" vertical="top" wrapText="1"/>
    </xf>
    <xf numFmtId="0" fontId="6" fillId="0" borderId="12" xfId="0" applyFont="1" applyBorder="1" applyAlignment="1">
      <alignment vertical="top" wrapText="1"/>
    </xf>
    <xf numFmtId="0" fontId="13" fillId="0" borderId="12" xfId="0" applyFont="1" applyBorder="1" applyAlignment="1">
      <alignment wrapText="1"/>
    </xf>
    <xf numFmtId="0" fontId="13" fillId="0" borderId="12" xfId="0" applyFont="1" applyBorder="1" applyAlignment="1">
      <alignment vertical="top"/>
    </xf>
    <xf numFmtId="0" fontId="1" fillId="0" borderId="0" xfId="0" applyFont="1" applyBorder="1" applyAlignment="1">
      <alignment vertical="top" wrapText="1"/>
    </xf>
    <xf numFmtId="0" fontId="0" fillId="0" borderId="8" xfId="0" applyBorder="1"/>
    <xf numFmtId="0" fontId="0" fillId="0" borderId="16" xfId="0" applyBorder="1"/>
    <xf numFmtId="8" fontId="6" fillId="0" borderId="12" xfId="0" applyNumberFormat="1" applyFont="1" applyBorder="1"/>
    <xf numFmtId="4" fontId="7" fillId="0" borderId="12" xfId="0" applyNumberFormat="1" applyFont="1" applyBorder="1" applyAlignment="1">
      <alignment horizontal="left" vertical="center"/>
    </xf>
    <xf numFmtId="4" fontId="6" fillId="0" borderId="12" xfId="0" applyNumberFormat="1" applyFont="1" applyBorder="1" applyAlignment="1">
      <alignment horizontal="left"/>
    </xf>
    <xf numFmtId="4" fontId="6" fillId="0" borderId="12" xfId="0" applyNumberFormat="1" applyFont="1" applyBorder="1"/>
    <xf numFmtId="4" fontId="6" fillId="0" borderId="12" xfId="0" applyNumberFormat="1" applyFont="1" applyBorder="1" applyAlignment="1">
      <alignment wrapText="1"/>
    </xf>
    <xf numFmtId="4" fontId="17" fillId="0" borderId="12"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 fontId="17" fillId="0" borderId="0" xfId="0" applyNumberFormat="1" applyFont="1" applyBorder="1" applyAlignment="1">
      <alignment horizontal="justify" vertical="center" wrapText="1"/>
    </xf>
    <xf numFmtId="4" fontId="17" fillId="0" borderId="12" xfId="0" applyNumberFormat="1" applyFont="1" applyBorder="1" applyAlignment="1">
      <alignment horizontal="justify" vertical="top" wrapText="1"/>
    </xf>
    <xf numFmtId="43" fontId="17" fillId="0" borderId="0" xfId="7" applyFont="1" applyBorder="1" applyAlignment="1">
      <alignment horizontal="justify" vertical="center" wrapText="1"/>
    </xf>
    <xf numFmtId="43" fontId="17" fillId="0" borderId="0" xfId="0" applyNumberFormat="1" applyFont="1" applyBorder="1" applyAlignment="1">
      <alignment horizontal="justify" vertical="center" wrapText="1"/>
    </xf>
    <xf numFmtId="4" fontId="0" fillId="0" borderId="12" xfId="0" applyNumberFormat="1" applyBorder="1"/>
    <xf numFmtId="3" fontId="0" fillId="0" borderId="12" xfId="0" applyNumberFormat="1" applyBorder="1"/>
    <xf numFmtId="0" fontId="19" fillId="0" borderId="0" xfId="0" applyFont="1" applyBorder="1" applyAlignment="1">
      <alignment horizontal="left" vertical="center"/>
    </xf>
    <xf numFmtId="3" fontId="0" fillId="6" borderId="12" xfId="0" applyNumberFormat="1" applyFill="1" applyBorder="1"/>
    <xf numFmtId="0" fontId="19" fillId="0" borderId="6" xfId="0" applyFont="1" applyBorder="1" applyAlignment="1">
      <alignment horizontal="left" vertical="center"/>
    </xf>
    <xf numFmtId="0" fontId="19" fillId="0" borderId="7" xfId="0" applyFont="1" applyBorder="1" applyAlignment="1">
      <alignment horizontal="left" vertical="center"/>
    </xf>
    <xf numFmtId="0" fontId="0" fillId="0" borderId="12" xfId="0" applyBorder="1" applyAlignment="1">
      <alignment wrapText="1"/>
    </xf>
    <xf numFmtId="3" fontId="1" fillId="0" borderId="11" xfId="0" applyNumberFormat="1" applyFont="1" applyBorder="1"/>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3" fontId="1" fillId="0" borderId="10" xfId="0" applyNumberFormat="1" applyFont="1" applyBorder="1"/>
    <xf numFmtId="4" fontId="17" fillId="0" borderId="12" xfId="0" applyNumberFormat="1" applyFont="1" applyBorder="1" applyAlignment="1">
      <alignment horizontal="justify" vertical="center" wrapText="1"/>
    </xf>
    <xf numFmtId="4" fontId="12" fillId="0" borderId="0" xfId="0" applyNumberFormat="1" applyFont="1" applyBorder="1"/>
    <xf numFmtId="0" fontId="13" fillId="0" borderId="0" xfId="0" applyFont="1" applyAlignment="1">
      <alignment horizontal="left" vertical="center" wrapText="1"/>
    </xf>
    <xf numFmtId="0" fontId="6" fillId="0" borderId="0" xfId="0" applyFont="1" applyAlignment="1">
      <alignment wrapText="1"/>
    </xf>
    <xf numFmtId="0" fontId="16" fillId="2" borderId="12" xfId="0" applyFont="1" applyFill="1" applyBorder="1" applyAlignment="1">
      <alignment horizontal="center" vertical="center" wrapText="1"/>
    </xf>
    <xf numFmtId="4" fontId="17" fillId="2" borderId="12" xfId="0" applyNumberFormat="1" applyFont="1" applyFill="1" applyBorder="1" applyAlignment="1">
      <alignment horizontal="center" vertical="center" wrapText="1"/>
    </xf>
    <xf numFmtId="0" fontId="17" fillId="2" borderId="0" xfId="0" applyFont="1" applyFill="1" applyBorder="1" applyAlignment="1">
      <alignment horizontal="justify" vertical="top" wrapText="1"/>
    </xf>
    <xf numFmtId="0" fontId="17" fillId="2" borderId="0" xfId="0" applyFont="1" applyFill="1" applyBorder="1" applyAlignment="1">
      <alignment horizontal="justify" vertical="center" wrapText="1"/>
    </xf>
    <xf numFmtId="0" fontId="12" fillId="2" borderId="0" xfId="0" applyFont="1" applyFill="1" applyBorder="1"/>
    <xf numFmtId="4" fontId="12" fillId="2" borderId="12" xfId="0" applyNumberFormat="1" applyFont="1" applyFill="1" applyBorder="1"/>
    <xf numFmtId="4" fontId="17" fillId="2" borderId="12" xfId="0" applyNumberFormat="1" applyFont="1" applyFill="1" applyBorder="1" applyAlignment="1">
      <alignment horizontal="justify" vertical="top" wrapText="1"/>
    </xf>
    <xf numFmtId="0" fontId="12" fillId="2" borderId="11" xfId="0" applyFont="1" applyFill="1" applyBorder="1"/>
    <xf numFmtId="0" fontId="4" fillId="0" borderId="12" xfId="0" applyFont="1" applyBorder="1" applyAlignment="1">
      <alignment horizontal="justify" vertical="center" wrapText="1"/>
    </xf>
    <xf numFmtId="0" fontId="8" fillId="0" borderId="12" xfId="0" applyFont="1" applyBorder="1" applyAlignment="1">
      <alignment horizontal="left" vertical="top" wrapText="1"/>
    </xf>
    <xf numFmtId="165" fontId="5" fillId="0" borderId="12" xfId="2" applyNumberFormat="1" applyFont="1" applyFill="1" applyBorder="1" applyAlignment="1">
      <alignment horizontal="center" vertical="center" wrapText="1"/>
    </xf>
    <xf numFmtId="165" fontId="5" fillId="0" borderId="15"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165" fontId="5" fillId="3" borderId="12" xfId="2" applyNumberFormat="1" applyFont="1" applyFill="1" applyBorder="1" applyAlignment="1">
      <alignment horizontal="left"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6" fillId="0" borderId="13" xfId="0" applyFont="1" applyBorder="1" applyAlignment="1">
      <alignment horizontal="left" wrapText="1"/>
    </xf>
    <xf numFmtId="0" fontId="6" fillId="0" borderId="10" xfId="0" applyFont="1" applyBorder="1" applyAlignment="1">
      <alignment horizontal="left"/>
    </xf>
    <xf numFmtId="0" fontId="6" fillId="0" borderId="11" xfId="0" applyFont="1" applyBorder="1" applyAlignment="1">
      <alignment horizontal="left"/>
    </xf>
    <xf numFmtId="0" fontId="11" fillId="0" borderId="12" xfId="0" applyFont="1" applyBorder="1" applyAlignment="1">
      <alignment horizontal="left" vertical="top" wrapText="1"/>
    </xf>
    <xf numFmtId="0" fontId="6" fillId="0" borderId="0" xfId="0" applyFont="1" applyAlignment="1">
      <alignment horizontal="left" vertical="top" wrapText="1"/>
    </xf>
    <xf numFmtId="0" fontId="11"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0" fillId="0" borderId="0" xfId="0" applyBorder="1" applyAlignment="1">
      <alignment horizontal="left" vertical="top"/>
    </xf>
    <xf numFmtId="165" fontId="5" fillId="2" borderId="12" xfId="2" applyNumberFormat="1"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2" xfId="0" applyFont="1" applyFill="1" applyBorder="1" applyAlignment="1">
      <alignment horizontal="left" vertical="top"/>
    </xf>
    <xf numFmtId="0" fontId="11" fillId="0" borderId="12" xfId="0" applyFont="1" applyBorder="1" applyAlignment="1">
      <alignment horizontal="center" vertical="center" wrapText="1"/>
    </xf>
    <xf numFmtId="0" fontId="13" fillId="0" borderId="12" xfId="0" applyFont="1" applyBorder="1" applyAlignment="1">
      <alignment horizontal="left" vertical="top" wrapText="1"/>
    </xf>
    <xf numFmtId="0" fontId="6" fillId="2" borderId="12" xfId="0" applyFont="1" applyFill="1" applyBorder="1" applyAlignment="1">
      <alignment horizontal="left" vertical="top" wrapText="1"/>
    </xf>
    <xf numFmtId="165" fontId="5" fillId="2" borderId="12" xfId="2" applyNumberFormat="1" applyFont="1" applyFill="1" applyBorder="1" applyAlignment="1">
      <alignment horizontal="center" vertical="top" wrapText="1"/>
    </xf>
    <xf numFmtId="165" fontId="5" fillId="2" borderId="0" xfId="2" applyNumberFormat="1" applyFont="1" applyFill="1" applyBorder="1" applyAlignment="1">
      <alignment horizontal="center" vertical="top" wrapText="1"/>
    </xf>
    <xf numFmtId="0" fontId="1" fillId="0" borderId="5" xfId="0" applyFont="1" applyBorder="1" applyAlignment="1">
      <alignment horizontal="left"/>
    </xf>
    <xf numFmtId="0" fontId="14" fillId="4" borderId="12" xfId="0" applyFont="1" applyFill="1" applyBorder="1" applyAlignment="1">
      <alignment horizontal="center" vertical="center" wrapText="1"/>
    </xf>
    <xf numFmtId="0" fontId="10" fillId="5" borderId="12" xfId="0" applyFont="1" applyFill="1" applyBorder="1" applyAlignment="1">
      <alignment horizontal="justify" vertical="center" wrapText="1"/>
    </xf>
    <xf numFmtId="0" fontId="15" fillId="4" borderId="12" xfId="0" applyFont="1" applyFill="1" applyBorder="1" applyAlignment="1">
      <alignment horizontal="center" vertical="center" wrapText="1"/>
    </xf>
    <xf numFmtId="165" fontId="5" fillId="2" borderId="13" xfId="2" applyNumberFormat="1" applyFont="1" applyFill="1" applyBorder="1" applyAlignment="1">
      <alignment horizontal="left" vertical="top" wrapText="1"/>
    </xf>
    <xf numFmtId="165" fontId="5" fillId="2" borderId="10"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0" fontId="8" fillId="2" borderId="12" xfId="0" applyFont="1" applyFill="1" applyBorder="1" applyAlignment="1">
      <alignment horizontal="left"/>
    </xf>
    <xf numFmtId="0" fontId="13" fillId="0" borderId="12" xfId="0" applyFont="1" applyBorder="1" applyAlignment="1">
      <alignment horizontal="left" vertical="top"/>
    </xf>
    <xf numFmtId="0" fontId="1" fillId="0" borderId="12" xfId="0" applyFont="1" applyBorder="1" applyAlignment="1">
      <alignment horizontal="left" vertical="top" wrapText="1"/>
    </xf>
    <xf numFmtId="0" fontId="8" fillId="2" borderId="13"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3" fontId="0" fillId="0" borderId="13" xfId="0" applyNumberFormat="1" applyBorder="1" applyAlignment="1">
      <alignment horizontal="left" vertical="top"/>
    </xf>
    <xf numFmtId="3" fontId="0" fillId="0" borderId="10" xfId="0" applyNumberFormat="1" applyBorder="1" applyAlignment="1">
      <alignment horizontal="left" vertical="top"/>
    </xf>
    <xf numFmtId="3" fontId="0" fillId="0" borderId="11" xfId="0" applyNumberFormat="1" applyBorder="1" applyAlignment="1">
      <alignment horizontal="left" vertical="top"/>
    </xf>
    <xf numFmtId="0" fontId="13" fillId="0" borderId="13" xfId="0" applyFont="1" applyBorder="1" applyAlignment="1">
      <alignment horizontal="left" vertical="top" wrapText="1"/>
    </xf>
    <xf numFmtId="0" fontId="13" fillId="0" borderId="10" xfId="0" applyFont="1" applyBorder="1" applyAlignment="1">
      <alignment horizontal="left" vertical="top" wrapText="1"/>
    </xf>
    <xf numFmtId="0" fontId="14" fillId="4" borderId="13"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1" fillId="2" borderId="12" xfId="0" applyFont="1" applyFill="1" applyBorder="1" applyAlignment="1">
      <alignment horizontal="left" vertical="top" wrapText="1"/>
    </xf>
    <xf numFmtId="0" fontId="22" fillId="2" borderId="12" xfId="0" applyFont="1" applyFill="1" applyBorder="1" applyAlignment="1">
      <alignment horizontal="left" vertical="top" wrapText="1"/>
    </xf>
    <xf numFmtId="0" fontId="16" fillId="0" borderId="13"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4" fontId="17" fillId="0" borderId="13" xfId="0" applyNumberFormat="1"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 fillId="0" borderId="12" xfId="0" applyFont="1" applyBorder="1" applyAlignment="1">
      <alignment horizontal="left"/>
    </xf>
    <xf numFmtId="4" fontId="0" fillId="0" borderId="13" xfId="0" applyNumberFormat="1" applyBorder="1" applyAlignment="1">
      <alignment horizontal="left"/>
    </xf>
    <xf numFmtId="4" fontId="0" fillId="0" borderId="10" xfId="0" applyNumberFormat="1" applyBorder="1" applyAlignment="1">
      <alignment horizontal="left"/>
    </xf>
    <xf numFmtId="4" fontId="0" fillId="0" borderId="11" xfId="0" applyNumberFormat="1" applyBorder="1" applyAlignment="1">
      <alignment horizontal="left"/>
    </xf>
    <xf numFmtId="0" fontId="9" fillId="0" borderId="12" xfId="0" applyFont="1" applyBorder="1" applyAlignment="1">
      <alignment horizontal="justify" vertical="center" wrapText="1"/>
    </xf>
    <xf numFmtId="0" fontId="1" fillId="0" borderId="12" xfId="0" applyFont="1" applyBorder="1" applyAlignment="1">
      <alignment horizontal="left" vertical="top"/>
    </xf>
    <xf numFmtId="0" fontId="19" fillId="0" borderId="12"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9" fillId="0" borderId="13" xfId="0" applyFont="1" applyBorder="1" applyAlignment="1">
      <alignment horizontal="left" vertical="center" wrapText="1"/>
    </xf>
    <xf numFmtId="0" fontId="19" fillId="0" borderId="10" xfId="0" applyFont="1" applyBorder="1" applyAlignment="1">
      <alignment horizontal="left" vertical="center" wrapText="1"/>
    </xf>
    <xf numFmtId="0" fontId="1" fillId="0" borderId="4" xfId="0" applyFont="1" applyBorder="1" applyAlignment="1">
      <alignment horizontal="left"/>
    </xf>
    <xf numFmtId="0" fontId="0" fillId="0" borderId="12" xfId="0" applyBorder="1" applyAlignment="1">
      <alignment horizontal="left" vertical="top" wrapText="1"/>
    </xf>
    <xf numFmtId="0" fontId="8" fillId="0" borderId="12" xfId="0" applyFont="1" applyBorder="1" applyAlignment="1">
      <alignment horizontal="left"/>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topLeftCell="A91" zoomScaleNormal="100" workbookViewId="0">
      <selection activeCell="B100" sqref="B100"/>
    </sheetView>
  </sheetViews>
  <sheetFormatPr baseColWidth="10" defaultRowHeight="12.75" x14ac:dyDescent="0.2"/>
  <cols>
    <col min="1" max="1" width="21.42578125" style="1" customWidth="1"/>
    <col min="2" max="4" width="11.42578125" style="1"/>
    <col min="5" max="5" width="13.28515625" style="1" customWidth="1"/>
    <col min="6" max="7" width="11.42578125" style="1"/>
    <col min="8" max="8" width="19.85546875" style="1" customWidth="1"/>
    <col min="9" max="9" width="39.5703125" style="1" customWidth="1"/>
    <col min="10" max="16384" width="11.42578125" style="1"/>
  </cols>
  <sheetData>
    <row r="1" spans="1:10" ht="20.25" customHeight="1" x14ac:dyDescent="0.2">
      <c r="A1" s="130" t="s">
        <v>0</v>
      </c>
      <c r="B1" s="131"/>
      <c r="C1" s="131"/>
      <c r="D1" s="134" t="s">
        <v>8</v>
      </c>
      <c r="E1" s="128" t="s">
        <v>190</v>
      </c>
      <c r="F1" s="128" t="s">
        <v>191</v>
      </c>
      <c r="G1" s="128" t="s">
        <v>194</v>
      </c>
      <c r="H1" s="128" t="s">
        <v>189</v>
      </c>
      <c r="I1" s="128" t="s">
        <v>208</v>
      </c>
    </row>
    <row r="2" spans="1:10" ht="15.75" customHeight="1" x14ac:dyDescent="0.2">
      <c r="A2" s="132"/>
      <c r="B2" s="133"/>
      <c r="C2" s="133"/>
      <c r="D2" s="138"/>
      <c r="E2" s="129"/>
      <c r="F2" s="129"/>
      <c r="G2" s="129"/>
      <c r="H2" s="129"/>
      <c r="I2" s="128"/>
    </row>
    <row r="3" spans="1:10" x14ac:dyDescent="0.2">
      <c r="A3" s="2"/>
      <c r="B3" s="134" t="s">
        <v>2</v>
      </c>
      <c r="C3" s="134"/>
      <c r="D3" s="134">
        <v>16</v>
      </c>
      <c r="E3" s="3"/>
      <c r="F3" s="3"/>
      <c r="G3" s="3"/>
      <c r="H3" s="3"/>
      <c r="I3" s="63"/>
    </row>
    <row r="4" spans="1:10" ht="42" customHeight="1" x14ac:dyDescent="0.2">
      <c r="A4" s="134" t="s">
        <v>7</v>
      </c>
      <c r="B4" s="126" t="s">
        <v>13</v>
      </c>
      <c r="C4" s="126"/>
      <c r="D4" s="134"/>
      <c r="E4" s="81">
        <v>644350</v>
      </c>
      <c r="F4" s="81">
        <f>(E4*10%)</f>
        <v>64435</v>
      </c>
      <c r="G4" s="81">
        <f>(F4*16%)</f>
        <v>10309.6</v>
      </c>
      <c r="H4" s="81">
        <f>(E4+F4+G4)*16</f>
        <v>11505513.6</v>
      </c>
      <c r="I4" s="70" t="s">
        <v>210</v>
      </c>
    </row>
    <row r="5" spans="1:10" x14ac:dyDescent="0.2">
      <c r="A5" s="134"/>
      <c r="B5" s="126" t="s">
        <v>14</v>
      </c>
      <c r="C5" s="126"/>
      <c r="D5" s="134"/>
      <c r="E5" s="81">
        <v>74000</v>
      </c>
      <c r="F5" s="81">
        <f t="shared" ref="F5:F13" si="0">(E5*10%)</f>
        <v>7400</v>
      </c>
      <c r="G5" s="81">
        <f t="shared" ref="G5:G13" si="1">(F5*16%)</f>
        <v>1184</v>
      </c>
      <c r="H5" s="81">
        <f t="shared" ref="H5:H13" si="2">(E5+F5+G5)*16</f>
        <v>1321344</v>
      </c>
      <c r="I5" s="61"/>
    </row>
    <row r="6" spans="1:10" x14ac:dyDescent="0.2">
      <c r="A6" s="134"/>
      <c r="B6" s="126" t="s">
        <v>3</v>
      </c>
      <c r="C6" s="126"/>
      <c r="D6" s="134"/>
      <c r="E6" s="81">
        <f>SUM(E4:E5)</f>
        <v>718350</v>
      </c>
      <c r="F6" s="81">
        <f t="shared" si="0"/>
        <v>71835</v>
      </c>
      <c r="G6" s="81">
        <f t="shared" si="1"/>
        <v>11493.6</v>
      </c>
      <c r="H6" s="81">
        <f t="shared" si="2"/>
        <v>12826857.6</v>
      </c>
      <c r="I6" s="61"/>
    </row>
    <row r="7" spans="1:10" x14ac:dyDescent="0.2">
      <c r="A7" s="134"/>
      <c r="B7" s="5" t="s">
        <v>15</v>
      </c>
      <c r="C7" s="6">
        <v>0.12</v>
      </c>
      <c r="D7" s="134"/>
      <c r="E7" s="81">
        <f>(E4*12%)</f>
        <v>77322</v>
      </c>
      <c r="F7" s="81">
        <f t="shared" si="0"/>
        <v>7732.2000000000007</v>
      </c>
      <c r="G7" s="81">
        <f t="shared" si="1"/>
        <v>1237.152</v>
      </c>
      <c r="H7" s="81">
        <f t="shared" si="2"/>
        <v>1380661.632</v>
      </c>
      <c r="I7" s="6"/>
    </row>
    <row r="8" spans="1:10" x14ac:dyDescent="0.2">
      <c r="A8" s="134"/>
      <c r="B8" s="5" t="s">
        <v>16</v>
      </c>
      <c r="C8" s="6">
        <v>1.044E-2</v>
      </c>
      <c r="D8" s="134"/>
      <c r="E8" s="81">
        <f>(E4*C8)</f>
        <v>6727.0140000000001</v>
      </c>
      <c r="F8" s="81">
        <f t="shared" si="0"/>
        <v>672.70140000000004</v>
      </c>
      <c r="G8" s="81">
        <f t="shared" si="1"/>
        <v>107.63222400000001</v>
      </c>
      <c r="H8" s="81">
        <f t="shared" si="2"/>
        <v>120117.561984</v>
      </c>
      <c r="I8" s="6"/>
    </row>
    <row r="9" spans="1:10" ht="38.25" x14ac:dyDescent="0.2">
      <c r="A9" s="134"/>
      <c r="B9" s="5" t="s">
        <v>17</v>
      </c>
      <c r="C9" s="6">
        <v>0.04</v>
      </c>
      <c r="D9" s="134"/>
      <c r="E9" s="81">
        <f>(E4*C9)</f>
        <v>25774</v>
      </c>
      <c r="F9" s="81">
        <f t="shared" si="0"/>
        <v>2577.4</v>
      </c>
      <c r="G9" s="81">
        <f t="shared" si="1"/>
        <v>412.38400000000001</v>
      </c>
      <c r="H9" s="81">
        <f t="shared" si="2"/>
        <v>460220.54399999999</v>
      </c>
      <c r="I9" s="70" t="s">
        <v>212</v>
      </c>
    </row>
    <row r="10" spans="1:10" ht="38.25" x14ac:dyDescent="0.2">
      <c r="A10" s="134"/>
      <c r="B10" s="5" t="s">
        <v>18</v>
      </c>
      <c r="C10" s="66">
        <v>8.3299999999999999E-2</v>
      </c>
      <c r="D10" s="134"/>
      <c r="E10" s="81">
        <f>(E6*C10)</f>
        <v>59838.555</v>
      </c>
      <c r="F10" s="81">
        <f t="shared" si="0"/>
        <v>5983.8555000000006</v>
      </c>
      <c r="G10" s="81">
        <f t="shared" si="1"/>
        <v>957.41688000000011</v>
      </c>
      <c r="H10" s="81">
        <f t="shared" si="2"/>
        <v>1068477.23808</v>
      </c>
      <c r="I10" s="70" t="s">
        <v>209</v>
      </c>
    </row>
    <row r="11" spans="1:10" ht="38.25" x14ac:dyDescent="0.2">
      <c r="A11" s="134"/>
      <c r="B11" s="5" t="s">
        <v>19</v>
      </c>
      <c r="C11" s="6">
        <v>0.01</v>
      </c>
      <c r="D11" s="134"/>
      <c r="E11" s="81">
        <f>(E6*C11)</f>
        <v>7183.5</v>
      </c>
      <c r="F11" s="81">
        <f t="shared" si="0"/>
        <v>718.35</v>
      </c>
      <c r="G11" s="81">
        <f t="shared" si="1"/>
        <v>114.93600000000001</v>
      </c>
      <c r="H11" s="81">
        <f t="shared" si="2"/>
        <v>128268.576</v>
      </c>
      <c r="I11" s="70" t="s">
        <v>211</v>
      </c>
    </row>
    <row r="12" spans="1:10" ht="24" customHeight="1" x14ac:dyDescent="0.2">
      <c r="A12" s="134"/>
      <c r="B12" s="61" t="s">
        <v>20</v>
      </c>
      <c r="C12" s="66">
        <v>8.3299999999999999E-2</v>
      </c>
      <c r="D12" s="134"/>
      <c r="E12" s="81">
        <f>(E6*C12)</f>
        <v>59838.555</v>
      </c>
      <c r="F12" s="81">
        <f t="shared" si="0"/>
        <v>5983.8555000000006</v>
      </c>
      <c r="G12" s="81">
        <f t="shared" si="1"/>
        <v>957.41688000000011</v>
      </c>
      <c r="H12" s="81">
        <f t="shared" si="2"/>
        <v>1068477.23808</v>
      </c>
      <c r="I12" s="62"/>
    </row>
    <row r="13" spans="1:10" ht="38.25" x14ac:dyDescent="0.2">
      <c r="A13" s="134"/>
      <c r="B13" s="61" t="s">
        <v>21</v>
      </c>
      <c r="C13" s="66">
        <v>4.1700000000000001E-2</v>
      </c>
      <c r="D13" s="134"/>
      <c r="E13" s="81">
        <f>(E4*C13)</f>
        <v>26869.395</v>
      </c>
      <c r="F13" s="81">
        <f t="shared" si="0"/>
        <v>2686.9395000000004</v>
      </c>
      <c r="G13" s="81">
        <f t="shared" si="1"/>
        <v>429.91032000000007</v>
      </c>
      <c r="H13" s="81">
        <f t="shared" si="2"/>
        <v>479779.91712</v>
      </c>
      <c r="I13" s="70" t="s">
        <v>213</v>
      </c>
      <c r="J13" s="67"/>
    </row>
    <row r="14" spans="1:10" ht="38.25" x14ac:dyDescent="0.2">
      <c r="A14" s="134"/>
      <c r="B14" s="139" t="s">
        <v>10</v>
      </c>
      <c r="C14" s="140"/>
      <c r="D14" s="140"/>
      <c r="E14" s="140"/>
      <c r="F14" s="140"/>
      <c r="G14" s="141"/>
      <c r="H14" s="92">
        <f>SUM(H6:H13)</f>
        <v>17532860.307263996</v>
      </c>
      <c r="I14" s="70" t="s">
        <v>214</v>
      </c>
    </row>
    <row r="15" spans="1:10" ht="38.25" x14ac:dyDescent="0.2">
      <c r="A15" s="138" t="s">
        <v>9</v>
      </c>
      <c r="B15" s="126" t="s">
        <v>13</v>
      </c>
      <c r="C15" s="126"/>
      <c r="D15" s="134">
        <v>23</v>
      </c>
      <c r="E15" s="69">
        <v>322175</v>
      </c>
      <c r="F15" s="69">
        <f>(E15*10%)</f>
        <v>32217.5</v>
      </c>
      <c r="G15" s="69">
        <f>(F15*16%)</f>
        <v>5154.8</v>
      </c>
      <c r="H15" s="69">
        <f>(E15+F15+G15)*D15</f>
        <v>8269587.8999999994</v>
      </c>
      <c r="I15" s="62" t="s">
        <v>215</v>
      </c>
    </row>
    <row r="16" spans="1:10" x14ac:dyDescent="0.2">
      <c r="A16" s="142"/>
      <c r="B16" s="126" t="s">
        <v>14</v>
      </c>
      <c r="C16" s="126"/>
      <c r="D16" s="134"/>
      <c r="E16" s="69">
        <v>74000</v>
      </c>
      <c r="F16" s="69">
        <f t="shared" ref="F16:F24" si="3">(E16*10%)</f>
        <v>7400</v>
      </c>
      <c r="G16" s="69">
        <f t="shared" ref="G16:G24" si="4">(F16*16%)</f>
        <v>1184</v>
      </c>
      <c r="H16" s="69">
        <f>(E16+F16+G16)*D15</f>
        <v>1899432</v>
      </c>
      <c r="I16" s="61"/>
    </row>
    <row r="17" spans="1:9" ht="38.25" x14ac:dyDescent="0.2">
      <c r="A17" s="142"/>
      <c r="B17" s="126" t="s">
        <v>3</v>
      </c>
      <c r="C17" s="126"/>
      <c r="D17" s="134"/>
      <c r="E17" s="69">
        <f>SUM(E15:E16)</f>
        <v>396175</v>
      </c>
      <c r="F17" s="69">
        <f t="shared" si="3"/>
        <v>39617.5</v>
      </c>
      <c r="G17" s="69">
        <f t="shared" si="4"/>
        <v>6338.8</v>
      </c>
      <c r="H17" s="69">
        <f>(G17+F17+E17)*23</f>
        <v>10169019.9</v>
      </c>
      <c r="I17" s="62" t="s">
        <v>216</v>
      </c>
    </row>
    <row r="18" spans="1:9" ht="38.25" x14ac:dyDescent="0.2">
      <c r="A18" s="142"/>
      <c r="B18" s="5" t="s">
        <v>15</v>
      </c>
      <c r="C18" s="6">
        <v>0.12</v>
      </c>
      <c r="D18" s="134"/>
      <c r="E18" s="69">
        <f>(E4*C18)</f>
        <v>77322</v>
      </c>
      <c r="F18" s="69">
        <f t="shared" si="3"/>
        <v>7732.2000000000007</v>
      </c>
      <c r="G18" s="69">
        <f t="shared" si="4"/>
        <v>1237.152</v>
      </c>
      <c r="H18" s="69">
        <f t="shared" ref="H18:H24" si="5">(G18+F18+E18)*23</f>
        <v>1984701.0959999999</v>
      </c>
      <c r="I18" s="62" t="s">
        <v>217</v>
      </c>
    </row>
    <row r="19" spans="1:9" ht="38.25" x14ac:dyDescent="0.2">
      <c r="A19" s="142"/>
      <c r="B19" s="5" t="s">
        <v>16</v>
      </c>
      <c r="C19" s="6">
        <v>1.044E-2</v>
      </c>
      <c r="D19" s="134"/>
      <c r="E19" s="93">
        <f>(E4*C19)</f>
        <v>6727.0140000000001</v>
      </c>
      <c r="F19" s="69">
        <f t="shared" si="3"/>
        <v>672.70140000000004</v>
      </c>
      <c r="G19" s="69">
        <f t="shared" si="4"/>
        <v>107.63222400000001</v>
      </c>
      <c r="H19" s="69">
        <f t="shared" si="5"/>
        <v>172668.995352</v>
      </c>
      <c r="I19" s="62" t="s">
        <v>218</v>
      </c>
    </row>
    <row r="20" spans="1:9" ht="38.25" x14ac:dyDescent="0.2">
      <c r="A20" s="142"/>
      <c r="B20" s="5" t="s">
        <v>17</v>
      </c>
      <c r="C20" s="6">
        <v>0.04</v>
      </c>
      <c r="D20" s="134"/>
      <c r="E20" s="69">
        <f>(E4*C20)</f>
        <v>25774</v>
      </c>
      <c r="F20" s="69">
        <f t="shared" si="3"/>
        <v>2577.4</v>
      </c>
      <c r="G20" s="69">
        <f t="shared" si="4"/>
        <v>412.38400000000001</v>
      </c>
      <c r="H20" s="69">
        <f t="shared" si="5"/>
        <v>661567.03200000001</v>
      </c>
      <c r="I20" s="62" t="s">
        <v>219</v>
      </c>
    </row>
    <row r="21" spans="1:9" ht="38.25" x14ac:dyDescent="0.2">
      <c r="A21" s="142"/>
      <c r="B21" s="5" t="s">
        <v>18</v>
      </c>
      <c r="C21" s="66">
        <v>8.3299999999999999E-2</v>
      </c>
      <c r="D21" s="134"/>
      <c r="E21" s="69">
        <f>(E17*C21)</f>
        <v>33001.377500000002</v>
      </c>
      <c r="F21" s="69">
        <f t="shared" si="3"/>
        <v>3300.1377500000003</v>
      </c>
      <c r="G21" s="69">
        <f t="shared" si="4"/>
        <v>528.02204000000006</v>
      </c>
      <c r="H21" s="69">
        <f t="shared" si="5"/>
        <v>847079.35767000006</v>
      </c>
      <c r="I21" s="62" t="s">
        <v>220</v>
      </c>
    </row>
    <row r="22" spans="1:9" ht="38.25" x14ac:dyDescent="0.2">
      <c r="A22" s="142"/>
      <c r="B22" s="5" t="s">
        <v>19</v>
      </c>
      <c r="C22" s="6">
        <v>0.01</v>
      </c>
      <c r="D22" s="134"/>
      <c r="E22" s="69">
        <f>(E17*C22)</f>
        <v>3961.75</v>
      </c>
      <c r="F22" s="69">
        <f t="shared" si="3"/>
        <v>396.17500000000001</v>
      </c>
      <c r="G22" s="69">
        <f t="shared" si="4"/>
        <v>63.388000000000005</v>
      </c>
      <c r="H22" s="69">
        <f t="shared" si="5"/>
        <v>101690.19900000001</v>
      </c>
      <c r="I22" s="62" t="s">
        <v>221</v>
      </c>
    </row>
    <row r="23" spans="1:9" ht="40.5" customHeight="1" x14ac:dyDescent="0.2">
      <c r="A23" s="142"/>
      <c r="B23" s="61" t="s">
        <v>20</v>
      </c>
      <c r="C23" s="66">
        <v>8.3299999999999999E-2</v>
      </c>
      <c r="D23" s="134"/>
      <c r="E23" s="94">
        <f>(E17*C23)</f>
        <v>33001.377500000002</v>
      </c>
      <c r="F23" s="69">
        <f t="shared" si="3"/>
        <v>3300.1377500000003</v>
      </c>
      <c r="G23" s="69">
        <f t="shared" si="4"/>
        <v>528.02204000000006</v>
      </c>
      <c r="H23" s="69">
        <f t="shared" si="5"/>
        <v>847079.35767000006</v>
      </c>
      <c r="I23" s="62" t="s">
        <v>222</v>
      </c>
    </row>
    <row r="24" spans="1:9" ht="38.25" x14ac:dyDescent="0.2">
      <c r="A24" s="142"/>
      <c r="B24" s="61" t="s">
        <v>21</v>
      </c>
      <c r="C24" s="66">
        <v>4.1700000000000001E-2</v>
      </c>
      <c r="D24" s="134"/>
      <c r="E24" s="94">
        <f>(E15*C24)</f>
        <v>13434.6975</v>
      </c>
      <c r="F24" s="69">
        <f t="shared" si="3"/>
        <v>1343.4697500000002</v>
      </c>
      <c r="G24" s="69">
        <f t="shared" si="4"/>
        <v>214.95516000000003</v>
      </c>
      <c r="H24" s="69">
        <f t="shared" si="5"/>
        <v>344841.81543000002</v>
      </c>
      <c r="I24" s="62" t="s">
        <v>223</v>
      </c>
    </row>
    <row r="25" spans="1:9" ht="38.25" x14ac:dyDescent="0.2">
      <c r="A25" s="143"/>
      <c r="B25" s="139" t="s">
        <v>3</v>
      </c>
      <c r="C25" s="140"/>
      <c r="D25" s="140"/>
      <c r="E25" s="140"/>
      <c r="F25" s="140"/>
      <c r="G25" s="141"/>
      <c r="H25" s="92">
        <f>SUM(H17:H24)</f>
        <v>15128647.753121998</v>
      </c>
      <c r="I25" s="62" t="s">
        <v>224</v>
      </c>
    </row>
    <row r="26" spans="1:9" ht="24.75" customHeight="1" x14ac:dyDescent="0.2">
      <c r="A26" s="135" t="s">
        <v>22</v>
      </c>
      <c r="B26" s="126" t="s">
        <v>13</v>
      </c>
      <c r="C26" s="126"/>
      <c r="D26" s="134">
        <v>1</v>
      </c>
      <c r="E26" s="69">
        <v>322175</v>
      </c>
      <c r="F26" s="81">
        <f>(E26*10%)</f>
        <v>32217.5</v>
      </c>
      <c r="G26" s="81" t="s">
        <v>225</v>
      </c>
      <c r="H26" s="81">
        <f>(E26+F26)</f>
        <v>354392.5</v>
      </c>
      <c r="I26" s="65"/>
    </row>
    <row r="27" spans="1:9" x14ac:dyDescent="0.2">
      <c r="A27" s="136"/>
      <c r="B27" s="126" t="s">
        <v>14</v>
      </c>
      <c r="C27" s="126"/>
      <c r="D27" s="134"/>
      <c r="E27" s="69">
        <v>74000</v>
      </c>
      <c r="F27" s="81">
        <f t="shared" ref="F27:F35" si="6">(E27*10%)</f>
        <v>7400</v>
      </c>
      <c r="G27" s="81" t="s">
        <v>225</v>
      </c>
      <c r="H27" s="81">
        <f t="shared" ref="H27:H35" si="7">(E27+F27)</f>
        <v>81400</v>
      </c>
      <c r="I27" s="61"/>
    </row>
    <row r="28" spans="1:9" ht="24" customHeight="1" x14ac:dyDescent="0.2">
      <c r="A28" s="136"/>
      <c r="B28" s="126" t="s">
        <v>3</v>
      </c>
      <c r="C28" s="126"/>
      <c r="D28" s="134"/>
      <c r="E28" s="81">
        <f>SUM(E26:E27)</f>
        <v>396175</v>
      </c>
      <c r="F28" s="81">
        <f t="shared" si="6"/>
        <v>39617.5</v>
      </c>
      <c r="G28" s="81" t="s">
        <v>225</v>
      </c>
      <c r="H28" s="81">
        <f t="shared" si="7"/>
        <v>435792.5</v>
      </c>
      <c r="I28" s="61"/>
    </row>
    <row r="29" spans="1:9" x14ac:dyDescent="0.2">
      <c r="A29" s="136"/>
      <c r="B29" s="5" t="s">
        <v>15</v>
      </c>
      <c r="C29" s="6">
        <v>0.12</v>
      </c>
      <c r="D29" s="134"/>
      <c r="E29" s="69">
        <v>77322</v>
      </c>
      <c r="F29" s="81">
        <f t="shared" si="6"/>
        <v>7732.2000000000007</v>
      </c>
      <c r="G29" s="81" t="s">
        <v>225</v>
      </c>
      <c r="H29" s="81">
        <f t="shared" si="7"/>
        <v>85054.2</v>
      </c>
      <c r="I29" s="61"/>
    </row>
    <row r="30" spans="1:9" x14ac:dyDescent="0.2">
      <c r="A30" s="136"/>
      <c r="B30" s="5" t="s">
        <v>16</v>
      </c>
      <c r="C30" s="6">
        <v>10.44</v>
      </c>
      <c r="D30" s="134"/>
      <c r="E30" s="93">
        <v>6727.0140000000001</v>
      </c>
      <c r="F30" s="81">
        <f t="shared" si="6"/>
        <v>672.70140000000004</v>
      </c>
      <c r="G30" s="81" t="s">
        <v>225</v>
      </c>
      <c r="H30" s="81">
        <f t="shared" si="7"/>
        <v>7399.7154</v>
      </c>
      <c r="I30" s="8"/>
    </row>
    <row r="31" spans="1:9" ht="24" customHeight="1" x14ac:dyDescent="0.2">
      <c r="A31" s="136"/>
      <c r="B31" s="5" t="s">
        <v>17</v>
      </c>
      <c r="C31" s="6">
        <v>0.04</v>
      </c>
      <c r="D31" s="134"/>
      <c r="E31" s="69">
        <v>25774</v>
      </c>
      <c r="F31" s="81">
        <f t="shared" si="6"/>
        <v>2577.4</v>
      </c>
      <c r="G31" s="81" t="s">
        <v>225</v>
      </c>
      <c r="H31" s="81">
        <f t="shared" si="7"/>
        <v>28351.4</v>
      </c>
      <c r="I31" s="61"/>
    </row>
    <row r="32" spans="1:9" ht="38.25" x14ac:dyDescent="0.2">
      <c r="A32" s="136"/>
      <c r="B32" s="5" t="s">
        <v>18</v>
      </c>
      <c r="C32" s="7" t="s">
        <v>4</v>
      </c>
      <c r="D32" s="134"/>
      <c r="E32" s="69">
        <v>33001.377500000002</v>
      </c>
      <c r="F32" s="81">
        <f t="shared" si="6"/>
        <v>3300.1377500000003</v>
      </c>
      <c r="G32" s="81" t="s">
        <v>225</v>
      </c>
      <c r="H32" s="81">
        <f t="shared" si="7"/>
        <v>36301.515250000004</v>
      </c>
      <c r="I32" s="62" t="s">
        <v>226</v>
      </c>
    </row>
    <row r="33" spans="1:9" ht="24" customHeight="1" x14ac:dyDescent="0.2">
      <c r="A33" s="136"/>
      <c r="B33" s="5" t="s">
        <v>19</v>
      </c>
      <c r="C33" s="6">
        <v>0.01</v>
      </c>
      <c r="D33" s="134"/>
      <c r="E33" s="69">
        <v>3961.75</v>
      </c>
      <c r="F33" s="81">
        <f t="shared" si="6"/>
        <v>396.17500000000001</v>
      </c>
      <c r="G33" s="81" t="s">
        <v>225</v>
      </c>
      <c r="H33" s="81">
        <f t="shared" si="7"/>
        <v>4357.9250000000002</v>
      </c>
      <c r="I33" s="63"/>
    </row>
    <row r="34" spans="1:9" ht="37.5" customHeight="1" x14ac:dyDescent="0.2">
      <c r="A34" s="136"/>
      <c r="B34" s="61" t="s">
        <v>20</v>
      </c>
      <c r="C34" s="62" t="s">
        <v>5</v>
      </c>
      <c r="D34" s="134"/>
      <c r="E34" s="94">
        <v>33001.377500000002</v>
      </c>
      <c r="F34" s="81">
        <f t="shared" si="6"/>
        <v>3300.1377500000003</v>
      </c>
      <c r="G34" s="81" t="s">
        <v>225</v>
      </c>
      <c r="H34" s="81">
        <f t="shared" si="7"/>
        <v>36301.515250000004</v>
      </c>
      <c r="I34" s="62" t="s">
        <v>226</v>
      </c>
    </row>
    <row r="35" spans="1:9" x14ac:dyDescent="0.2">
      <c r="A35" s="136"/>
      <c r="B35" s="61" t="s">
        <v>21</v>
      </c>
      <c r="C35" s="62" t="s">
        <v>6</v>
      </c>
      <c r="D35" s="134"/>
      <c r="E35" s="94">
        <v>13434.6975</v>
      </c>
      <c r="F35" s="81">
        <f t="shared" si="6"/>
        <v>1343.4697500000002</v>
      </c>
      <c r="G35" s="81" t="s">
        <v>225</v>
      </c>
      <c r="H35" s="81">
        <f t="shared" si="7"/>
        <v>14778.16725</v>
      </c>
      <c r="I35" s="2"/>
    </row>
    <row r="36" spans="1:9" ht="35.25" customHeight="1" x14ac:dyDescent="0.2">
      <c r="A36" s="137"/>
      <c r="B36" s="139" t="s">
        <v>3</v>
      </c>
      <c r="C36" s="140"/>
      <c r="D36" s="140"/>
      <c r="E36" s="140"/>
      <c r="F36" s="140"/>
      <c r="G36" s="141"/>
      <c r="H36" s="95">
        <f>SUM(H28:H35)</f>
        <v>648336.93815000029</v>
      </c>
      <c r="I36" s="62" t="s">
        <v>227</v>
      </c>
    </row>
    <row r="37" spans="1:9" x14ac:dyDescent="0.2">
      <c r="A37" s="145" t="s">
        <v>1</v>
      </c>
      <c r="B37" s="126" t="s">
        <v>13</v>
      </c>
      <c r="C37" s="126"/>
      <c r="D37" s="147">
        <v>1</v>
      </c>
      <c r="E37" s="96">
        <v>1100000</v>
      </c>
      <c r="F37" s="95">
        <f>(E37*10%)</f>
        <v>110000</v>
      </c>
      <c r="G37" s="95">
        <f>(F37*16%)</f>
        <v>17600</v>
      </c>
      <c r="H37" s="95">
        <f>(E37+F37+G37)</f>
        <v>1227600</v>
      </c>
      <c r="I37" s="2"/>
    </row>
    <row r="38" spans="1:9" x14ac:dyDescent="0.2">
      <c r="A38" s="145"/>
      <c r="B38" s="126" t="s">
        <v>14</v>
      </c>
      <c r="C38" s="126"/>
      <c r="D38" s="148"/>
      <c r="E38" s="96">
        <v>74000</v>
      </c>
      <c r="F38" s="95">
        <f t="shared" ref="F38:F46" si="8">(E38*10%)</f>
        <v>7400</v>
      </c>
      <c r="G38" s="95">
        <f t="shared" ref="G38:G46" si="9">(F38*16%)</f>
        <v>1184</v>
      </c>
      <c r="H38" s="95">
        <f t="shared" ref="H38:H46" si="10">(E38+F38+G38)</f>
        <v>82584</v>
      </c>
      <c r="I38" s="2"/>
    </row>
    <row r="39" spans="1:9" x14ac:dyDescent="0.2">
      <c r="A39" s="145"/>
      <c r="B39" s="126" t="s">
        <v>3</v>
      </c>
      <c r="C39" s="126"/>
      <c r="D39" s="148"/>
      <c r="E39" s="96">
        <f>SUM(E37:E38)</f>
        <v>1174000</v>
      </c>
      <c r="F39" s="95">
        <f t="shared" si="8"/>
        <v>117400</v>
      </c>
      <c r="G39" s="95">
        <f t="shared" si="9"/>
        <v>18784</v>
      </c>
      <c r="H39" s="95">
        <f t="shared" si="10"/>
        <v>1310184</v>
      </c>
      <c r="I39" s="2"/>
    </row>
    <row r="40" spans="1:9" x14ac:dyDescent="0.2">
      <c r="A40" s="145"/>
      <c r="B40" s="5" t="s">
        <v>15</v>
      </c>
      <c r="C40" s="6">
        <v>0.12</v>
      </c>
      <c r="D40" s="148"/>
      <c r="E40" s="95">
        <f>(E37*C40)</f>
        <v>132000</v>
      </c>
      <c r="F40" s="95">
        <f t="shared" si="8"/>
        <v>13200</v>
      </c>
      <c r="G40" s="95">
        <f t="shared" si="9"/>
        <v>2112</v>
      </c>
      <c r="H40" s="95">
        <f t="shared" si="10"/>
        <v>147312</v>
      </c>
      <c r="I40" s="2"/>
    </row>
    <row r="41" spans="1:9" x14ac:dyDescent="0.2">
      <c r="A41" s="145"/>
      <c r="B41" s="5" t="s">
        <v>16</v>
      </c>
      <c r="C41" s="6">
        <v>1.044E-2</v>
      </c>
      <c r="D41" s="148"/>
      <c r="E41" s="95">
        <f>(E37*C41)</f>
        <v>11484</v>
      </c>
      <c r="F41" s="95">
        <f t="shared" si="8"/>
        <v>1148.4000000000001</v>
      </c>
      <c r="G41" s="95">
        <f t="shared" si="9"/>
        <v>183.74400000000003</v>
      </c>
      <c r="H41" s="95">
        <f t="shared" si="10"/>
        <v>12816.144</v>
      </c>
      <c r="I41" s="2"/>
    </row>
    <row r="42" spans="1:9" ht="24" customHeight="1" x14ac:dyDescent="0.2">
      <c r="A42" s="145"/>
      <c r="B42" s="5" t="s">
        <v>17</v>
      </c>
      <c r="C42" s="6">
        <v>0.04</v>
      </c>
      <c r="D42" s="148"/>
      <c r="E42" s="95">
        <f>(E37*C42)</f>
        <v>44000</v>
      </c>
      <c r="F42" s="95">
        <f t="shared" si="8"/>
        <v>4400</v>
      </c>
      <c r="G42" s="95">
        <f t="shared" si="9"/>
        <v>704</v>
      </c>
      <c r="H42" s="95">
        <f t="shared" si="10"/>
        <v>49104</v>
      </c>
      <c r="I42" s="2"/>
    </row>
    <row r="43" spans="1:9" x14ac:dyDescent="0.2">
      <c r="A43" s="145"/>
      <c r="B43" s="5" t="s">
        <v>18</v>
      </c>
      <c r="C43" s="66">
        <v>8.3299999999999999E-2</v>
      </c>
      <c r="D43" s="148"/>
      <c r="E43" s="95">
        <f>(E39*C43)</f>
        <v>97794.2</v>
      </c>
      <c r="F43" s="95">
        <f t="shared" si="8"/>
        <v>9779.42</v>
      </c>
      <c r="G43" s="95">
        <f t="shared" si="9"/>
        <v>1564.7072000000001</v>
      </c>
      <c r="H43" s="95">
        <f t="shared" si="10"/>
        <v>109138.3272</v>
      </c>
      <c r="I43" s="2"/>
    </row>
    <row r="44" spans="1:9" x14ac:dyDescent="0.2">
      <c r="A44" s="145"/>
      <c r="B44" s="5" t="s">
        <v>19</v>
      </c>
      <c r="C44" s="6">
        <v>0.01</v>
      </c>
      <c r="D44" s="148"/>
      <c r="E44" s="95">
        <f>(E39*C44)</f>
        <v>11740</v>
      </c>
      <c r="F44" s="95">
        <f t="shared" si="8"/>
        <v>1174</v>
      </c>
      <c r="G44" s="95">
        <f t="shared" si="9"/>
        <v>187.84</v>
      </c>
      <c r="H44" s="95">
        <f t="shared" si="10"/>
        <v>13101.84</v>
      </c>
      <c r="I44" s="2"/>
    </row>
    <row r="45" spans="1:9" ht="24" customHeight="1" x14ac:dyDescent="0.2">
      <c r="A45" s="145"/>
      <c r="B45" s="61" t="s">
        <v>20</v>
      </c>
      <c r="C45" s="66">
        <v>8.3299999999999999E-2</v>
      </c>
      <c r="D45" s="148"/>
      <c r="E45" s="95">
        <f>(E39*C45)</f>
        <v>97794.2</v>
      </c>
      <c r="F45" s="95">
        <f t="shared" si="8"/>
        <v>9779.42</v>
      </c>
      <c r="G45" s="95">
        <f t="shared" si="9"/>
        <v>1564.7072000000001</v>
      </c>
      <c r="H45" s="95">
        <f t="shared" si="10"/>
        <v>109138.3272</v>
      </c>
      <c r="I45" s="2"/>
    </row>
    <row r="46" spans="1:9" ht="17.25" customHeight="1" x14ac:dyDescent="0.2">
      <c r="A46" s="145"/>
      <c r="B46" s="4" t="s">
        <v>21</v>
      </c>
      <c r="C46" s="66">
        <v>4.1700000000000001E-2</v>
      </c>
      <c r="D46" s="148"/>
      <c r="E46" s="95">
        <f>(E37*C46)</f>
        <v>45870</v>
      </c>
      <c r="F46" s="95">
        <f t="shared" si="8"/>
        <v>4587</v>
      </c>
      <c r="G46" s="95">
        <f t="shared" si="9"/>
        <v>733.92</v>
      </c>
      <c r="H46" s="95">
        <f t="shared" si="10"/>
        <v>51190.92</v>
      </c>
      <c r="I46" s="2"/>
    </row>
    <row r="47" spans="1:9" ht="38.25" x14ac:dyDescent="0.2">
      <c r="A47" s="145"/>
      <c r="B47" s="139" t="s">
        <v>10</v>
      </c>
      <c r="C47" s="140"/>
      <c r="D47" s="140"/>
      <c r="E47" s="140"/>
      <c r="F47" s="140"/>
      <c r="G47" s="141"/>
      <c r="H47" s="95">
        <f>(H39+H40+H41+H42+H43+H44+H45+H46)</f>
        <v>1801985.5584</v>
      </c>
      <c r="I47" s="62" t="s">
        <v>228</v>
      </c>
    </row>
    <row r="48" spans="1:9" ht="16.5" customHeight="1" x14ac:dyDescent="0.2">
      <c r="A48" s="144" t="s">
        <v>11</v>
      </c>
      <c r="B48" s="126" t="s">
        <v>13</v>
      </c>
      <c r="C48" s="126"/>
      <c r="D48" s="147">
        <v>1</v>
      </c>
      <c r="E48" s="95">
        <v>900000</v>
      </c>
      <c r="F48" s="95">
        <f>(E48*10%)</f>
        <v>90000</v>
      </c>
      <c r="G48" s="95">
        <f>(F48*16%)</f>
        <v>14400</v>
      </c>
      <c r="H48" s="95">
        <f>(E48+F48+G48)</f>
        <v>1004400</v>
      </c>
      <c r="I48" s="2"/>
    </row>
    <row r="49" spans="1:9" x14ac:dyDescent="0.2">
      <c r="A49" s="144"/>
      <c r="B49" s="126" t="s">
        <v>14</v>
      </c>
      <c r="C49" s="126"/>
      <c r="D49" s="148"/>
      <c r="E49" s="95">
        <v>74000</v>
      </c>
      <c r="F49" s="95">
        <f t="shared" ref="F49:F57" si="11">(E49*10%)</f>
        <v>7400</v>
      </c>
      <c r="G49" s="95">
        <f t="shared" ref="G49:G57" si="12">(F49*16%)</f>
        <v>1184</v>
      </c>
      <c r="H49" s="95">
        <f t="shared" ref="H49:H57" si="13">(E49+F49+G49)</f>
        <v>82584</v>
      </c>
      <c r="I49" s="2"/>
    </row>
    <row r="50" spans="1:9" ht="15" customHeight="1" x14ac:dyDescent="0.2">
      <c r="A50" s="144"/>
      <c r="B50" s="126" t="s">
        <v>3</v>
      </c>
      <c r="C50" s="126"/>
      <c r="D50" s="148"/>
      <c r="E50" s="95">
        <f>SUM(E48:E49)</f>
        <v>974000</v>
      </c>
      <c r="F50" s="95">
        <f t="shared" si="11"/>
        <v>97400</v>
      </c>
      <c r="G50" s="95">
        <f t="shared" si="12"/>
        <v>15584</v>
      </c>
      <c r="H50" s="95">
        <f t="shared" si="13"/>
        <v>1086984</v>
      </c>
      <c r="I50" s="2"/>
    </row>
    <row r="51" spans="1:9" x14ac:dyDescent="0.2">
      <c r="A51" s="144"/>
      <c r="B51" s="5" t="s">
        <v>15</v>
      </c>
      <c r="C51" s="6">
        <v>0.12</v>
      </c>
      <c r="D51" s="148"/>
      <c r="E51" s="95">
        <f>(E48*C51)</f>
        <v>108000</v>
      </c>
      <c r="F51" s="95">
        <f t="shared" si="11"/>
        <v>10800</v>
      </c>
      <c r="G51" s="95">
        <f t="shared" si="12"/>
        <v>1728</v>
      </c>
      <c r="H51" s="95">
        <f t="shared" si="13"/>
        <v>120528</v>
      </c>
      <c r="I51" s="2"/>
    </row>
    <row r="52" spans="1:9" x14ac:dyDescent="0.2">
      <c r="A52" s="144"/>
      <c r="B52" s="5" t="s">
        <v>16</v>
      </c>
      <c r="C52" s="6">
        <v>1.044E-2</v>
      </c>
      <c r="D52" s="148"/>
      <c r="E52" s="95">
        <f>(E48*C52)</f>
        <v>9396</v>
      </c>
      <c r="F52" s="95">
        <f t="shared" si="11"/>
        <v>939.6</v>
      </c>
      <c r="G52" s="95">
        <f t="shared" si="12"/>
        <v>150.33600000000001</v>
      </c>
      <c r="H52" s="95">
        <f t="shared" si="13"/>
        <v>10485.936</v>
      </c>
      <c r="I52" s="2"/>
    </row>
    <row r="53" spans="1:9" ht="25.5" x14ac:dyDescent="0.2">
      <c r="A53" s="144"/>
      <c r="B53" s="5" t="s">
        <v>17</v>
      </c>
      <c r="C53" s="6">
        <v>0.04</v>
      </c>
      <c r="D53" s="148"/>
      <c r="E53" s="95">
        <f>(E48*C53)</f>
        <v>36000</v>
      </c>
      <c r="F53" s="95">
        <f t="shared" si="11"/>
        <v>3600</v>
      </c>
      <c r="G53" s="95">
        <f t="shared" si="12"/>
        <v>576</v>
      </c>
      <c r="H53" s="95">
        <f t="shared" si="13"/>
        <v>40176</v>
      </c>
      <c r="I53" s="2"/>
    </row>
    <row r="54" spans="1:9" x14ac:dyDescent="0.2">
      <c r="A54" s="144"/>
      <c r="B54" s="5" t="s">
        <v>18</v>
      </c>
      <c r="C54" s="66">
        <v>8.3299999999999999E-2</v>
      </c>
      <c r="D54" s="148"/>
      <c r="E54" s="95">
        <f>(E50*C54)</f>
        <v>81134.2</v>
      </c>
      <c r="F54" s="95">
        <f t="shared" si="11"/>
        <v>8113.42</v>
      </c>
      <c r="G54" s="95">
        <f t="shared" si="12"/>
        <v>1298.1472000000001</v>
      </c>
      <c r="H54" s="95">
        <f t="shared" si="13"/>
        <v>90545.767200000002</v>
      </c>
      <c r="I54" s="2"/>
    </row>
    <row r="55" spans="1:9" ht="30" customHeight="1" x14ac:dyDescent="0.2">
      <c r="A55" s="144"/>
      <c r="B55" s="5" t="s">
        <v>19</v>
      </c>
      <c r="C55" s="6">
        <v>0.01</v>
      </c>
      <c r="D55" s="148"/>
      <c r="E55" s="95">
        <f>(E50*C55)</f>
        <v>9740</v>
      </c>
      <c r="F55" s="95">
        <f t="shared" si="11"/>
        <v>974</v>
      </c>
      <c r="G55" s="95">
        <f t="shared" si="12"/>
        <v>155.84</v>
      </c>
      <c r="H55" s="95">
        <f t="shared" si="13"/>
        <v>10869.84</v>
      </c>
      <c r="I55" s="2"/>
    </row>
    <row r="56" spans="1:9" ht="39" customHeight="1" x14ac:dyDescent="0.2">
      <c r="A56" s="144"/>
      <c r="B56" s="61" t="s">
        <v>20</v>
      </c>
      <c r="C56" s="66">
        <v>8.3299999999999999E-2</v>
      </c>
      <c r="D56" s="148"/>
      <c r="E56" s="95">
        <f>(E50*C56)</f>
        <v>81134.2</v>
      </c>
      <c r="F56" s="95">
        <f t="shared" si="11"/>
        <v>8113.42</v>
      </c>
      <c r="G56" s="95">
        <f t="shared" si="12"/>
        <v>1298.1472000000001</v>
      </c>
      <c r="H56" s="95">
        <f t="shared" si="13"/>
        <v>90545.767200000002</v>
      </c>
      <c r="I56" s="62" t="s">
        <v>229</v>
      </c>
    </row>
    <row r="57" spans="1:9" x14ac:dyDescent="0.2">
      <c r="A57" s="144"/>
      <c r="B57" s="61" t="s">
        <v>21</v>
      </c>
      <c r="C57" s="66">
        <v>4.1700000000000001E-2</v>
      </c>
      <c r="D57" s="148"/>
      <c r="E57" s="95">
        <f>(E48*C57)</f>
        <v>37530</v>
      </c>
      <c r="F57" s="95">
        <f t="shared" si="11"/>
        <v>3753</v>
      </c>
      <c r="G57" s="95">
        <f t="shared" si="12"/>
        <v>600.48</v>
      </c>
      <c r="H57" s="95">
        <f t="shared" si="13"/>
        <v>41883.480000000003</v>
      </c>
      <c r="I57" s="2"/>
    </row>
    <row r="58" spans="1:9" ht="38.25" x14ac:dyDescent="0.2">
      <c r="A58" s="144"/>
      <c r="B58" s="139" t="s">
        <v>10</v>
      </c>
      <c r="C58" s="140"/>
      <c r="D58" s="140"/>
      <c r="E58" s="140"/>
      <c r="F58" s="140"/>
      <c r="G58" s="141"/>
      <c r="H58" s="95">
        <f>(H50+H51+H52+H53+H54+H55+H56+H57)</f>
        <v>1492018.7903999998</v>
      </c>
      <c r="I58" s="62" t="s">
        <v>230</v>
      </c>
    </row>
    <row r="59" spans="1:9" x14ac:dyDescent="0.2">
      <c r="A59" s="144" t="s">
        <v>12</v>
      </c>
      <c r="B59" s="126" t="s">
        <v>13</v>
      </c>
      <c r="C59" s="126"/>
      <c r="D59" s="147">
        <v>1</v>
      </c>
      <c r="E59" s="95">
        <v>700000</v>
      </c>
      <c r="F59" s="95">
        <f>(E59*10%)</f>
        <v>70000</v>
      </c>
      <c r="G59" s="95">
        <f>(F59*16%)</f>
        <v>11200</v>
      </c>
      <c r="H59" s="95">
        <f>(G59+F59+E59)</f>
        <v>781200</v>
      </c>
      <c r="I59" s="2"/>
    </row>
    <row r="60" spans="1:9" x14ac:dyDescent="0.2">
      <c r="A60" s="144"/>
      <c r="B60" s="126" t="s">
        <v>14</v>
      </c>
      <c r="C60" s="126"/>
      <c r="D60" s="148"/>
      <c r="E60" s="95">
        <v>74000</v>
      </c>
      <c r="F60" s="95">
        <f t="shared" ref="F60:F61" si="14">(E60*10%)</f>
        <v>7400</v>
      </c>
      <c r="G60" s="95">
        <f t="shared" ref="G60:G61" si="15">(F60*16%)</f>
        <v>1184</v>
      </c>
      <c r="H60" s="95">
        <f t="shared" ref="H60:H61" si="16">(G60+F60+E60)</f>
        <v>82584</v>
      </c>
      <c r="I60" s="2"/>
    </row>
    <row r="61" spans="1:9" x14ac:dyDescent="0.2">
      <c r="A61" s="144"/>
      <c r="B61" s="126" t="s">
        <v>3</v>
      </c>
      <c r="C61" s="126"/>
      <c r="D61" s="148"/>
      <c r="E61" s="95">
        <f>SUM(E59:E60)</f>
        <v>774000</v>
      </c>
      <c r="F61" s="95">
        <f t="shared" si="14"/>
        <v>77400</v>
      </c>
      <c r="G61" s="95">
        <f t="shared" si="15"/>
        <v>12384</v>
      </c>
      <c r="H61" s="95">
        <f t="shared" si="16"/>
        <v>863784</v>
      </c>
      <c r="I61" s="2"/>
    </row>
    <row r="62" spans="1:9" x14ac:dyDescent="0.2">
      <c r="A62" s="144"/>
      <c r="B62" s="5" t="s">
        <v>15</v>
      </c>
      <c r="C62" s="6">
        <v>0.12</v>
      </c>
      <c r="D62" s="148"/>
      <c r="E62" s="95">
        <f>(E59*C62)</f>
        <v>84000</v>
      </c>
      <c r="F62" s="95">
        <f t="shared" ref="F62:F66" si="17">(E62*10%)</f>
        <v>8400</v>
      </c>
      <c r="G62" s="95">
        <f t="shared" ref="G62:G68" si="18">(F62*16%)</f>
        <v>1344</v>
      </c>
      <c r="H62" s="95">
        <f t="shared" ref="H62:H66" si="19">(E62+F62+G62)</f>
        <v>93744</v>
      </c>
      <c r="I62" s="2"/>
    </row>
    <row r="63" spans="1:9" x14ac:dyDescent="0.2">
      <c r="A63" s="144"/>
      <c r="B63" s="5" t="s">
        <v>16</v>
      </c>
      <c r="C63" s="6">
        <v>1.044E-2</v>
      </c>
      <c r="D63" s="148"/>
      <c r="E63" s="95">
        <f>(E59*C63)</f>
        <v>7308</v>
      </c>
      <c r="F63" s="95">
        <f t="shared" si="17"/>
        <v>730.80000000000007</v>
      </c>
      <c r="G63" s="95">
        <f t="shared" si="18"/>
        <v>116.92800000000001</v>
      </c>
      <c r="H63" s="95">
        <f t="shared" si="19"/>
        <v>8155.7280000000001</v>
      </c>
      <c r="I63" s="2"/>
    </row>
    <row r="64" spans="1:9" ht="25.5" x14ac:dyDescent="0.2">
      <c r="A64" s="144"/>
      <c r="B64" s="5" t="s">
        <v>17</v>
      </c>
      <c r="C64" s="6">
        <v>0.04</v>
      </c>
      <c r="D64" s="148"/>
      <c r="E64" s="95">
        <f>(E59*C64)</f>
        <v>28000</v>
      </c>
      <c r="F64" s="95">
        <f t="shared" si="17"/>
        <v>2800</v>
      </c>
      <c r="G64" s="95">
        <f t="shared" si="18"/>
        <v>448</v>
      </c>
      <c r="H64" s="95">
        <f t="shared" si="19"/>
        <v>31248</v>
      </c>
      <c r="I64" s="2"/>
    </row>
    <row r="65" spans="1:9" x14ac:dyDescent="0.2">
      <c r="A65" s="144"/>
      <c r="B65" s="5" t="s">
        <v>18</v>
      </c>
      <c r="C65" s="66">
        <v>8.3299999999999999E-2</v>
      </c>
      <c r="D65" s="148"/>
      <c r="E65" s="95">
        <f>(E61*C65)</f>
        <v>64474.2</v>
      </c>
      <c r="F65" s="95">
        <f t="shared" si="17"/>
        <v>6447.42</v>
      </c>
      <c r="G65" s="95">
        <f t="shared" si="18"/>
        <v>1031.5871999999999</v>
      </c>
      <c r="H65" s="95">
        <f t="shared" si="19"/>
        <v>71953.20719999999</v>
      </c>
      <c r="I65" s="2"/>
    </row>
    <row r="66" spans="1:9" x14ac:dyDescent="0.2">
      <c r="A66" s="144"/>
      <c r="B66" s="5" t="s">
        <v>19</v>
      </c>
      <c r="C66" s="6">
        <v>0.01</v>
      </c>
      <c r="D66" s="148"/>
      <c r="E66" s="95">
        <f>(E61*C66)</f>
        <v>7740</v>
      </c>
      <c r="F66" s="95">
        <f t="shared" si="17"/>
        <v>774</v>
      </c>
      <c r="G66" s="95">
        <f t="shared" si="18"/>
        <v>123.84</v>
      </c>
      <c r="H66" s="95">
        <f t="shared" si="19"/>
        <v>8637.84</v>
      </c>
      <c r="I66" s="2"/>
    </row>
    <row r="67" spans="1:9" ht="24.75" customHeight="1" x14ac:dyDescent="0.2">
      <c r="A67" s="144"/>
      <c r="B67" s="61" t="s">
        <v>20</v>
      </c>
      <c r="C67" s="66">
        <v>8.3299999999999999E-2</v>
      </c>
      <c r="D67" s="148"/>
      <c r="E67" s="95">
        <f>(E61*C67)</f>
        <v>64474.2</v>
      </c>
      <c r="F67" s="95">
        <f>(E67*10%)</f>
        <v>6447.42</v>
      </c>
      <c r="G67" s="95">
        <f t="shared" si="18"/>
        <v>1031.5871999999999</v>
      </c>
      <c r="H67" s="95">
        <f>(E67+F67+G67)</f>
        <v>71953.20719999999</v>
      </c>
      <c r="I67" s="2"/>
    </row>
    <row r="68" spans="1:9" x14ac:dyDescent="0.2">
      <c r="A68" s="144"/>
      <c r="B68" s="61" t="s">
        <v>21</v>
      </c>
      <c r="C68" s="66">
        <v>4.1700000000000001E-2</v>
      </c>
      <c r="D68" s="148"/>
      <c r="E68" s="95">
        <f>(E59*C68)</f>
        <v>29190</v>
      </c>
      <c r="F68" s="95">
        <f>(E68*10%)</f>
        <v>2919</v>
      </c>
      <c r="G68" s="95">
        <f t="shared" si="18"/>
        <v>467.04</v>
      </c>
      <c r="H68" s="95">
        <f>(E68+F68+G68)</f>
        <v>32576.04</v>
      </c>
      <c r="I68" s="2"/>
    </row>
    <row r="69" spans="1:9" x14ac:dyDescent="0.2">
      <c r="A69" s="144"/>
      <c r="B69" s="139" t="s">
        <v>10</v>
      </c>
      <c r="C69" s="140"/>
      <c r="D69" s="140"/>
      <c r="E69" s="140"/>
      <c r="F69" s="140"/>
      <c r="G69" s="141"/>
      <c r="H69" s="95">
        <f>(H61+H62+H63+H64+H65+H66+H67+H68)</f>
        <v>1182052.0224000001</v>
      </c>
      <c r="I69" s="2"/>
    </row>
    <row r="70" spans="1:9" ht="47.25" customHeight="1" x14ac:dyDescent="0.2">
      <c r="B70" s="146" t="s">
        <v>27</v>
      </c>
      <c r="C70" s="146"/>
      <c r="D70" s="146"/>
      <c r="E70" s="146"/>
      <c r="F70" s="146"/>
      <c r="G70" s="146"/>
      <c r="H70" s="95">
        <f>(H5+H16+H27+H38+H49+H60)*8</f>
        <v>28399424</v>
      </c>
      <c r="I70" s="62" t="s">
        <v>231</v>
      </c>
    </row>
    <row r="71" spans="1:9" ht="39" customHeight="1" x14ac:dyDescent="0.2">
      <c r="B71" s="146" t="s">
        <v>28</v>
      </c>
      <c r="C71" s="146"/>
      <c r="D71" s="146"/>
      <c r="E71" s="146"/>
      <c r="F71" s="146"/>
      <c r="G71" s="146"/>
      <c r="H71" s="95">
        <f>(H4+H7+H8+H9+H10+H11+H12+H13+H15+H18+H19+H20+H21+H22+H23+H24+H26+H29+H30+H31+H32+H33+H34+H35+H37+H40+H41+H42+H43+H44+H45+H46+H48+H51+H52+H53+H54+H55+H56+H57+H59+H62+H63+H64+H65+H66+H67+H68)*8</f>
        <v>273887786.95788807</v>
      </c>
      <c r="I71" s="62" t="s">
        <v>232</v>
      </c>
    </row>
    <row r="72" spans="1:9" ht="39" customHeight="1" x14ac:dyDescent="0.2">
      <c r="B72" s="146" t="s">
        <v>202</v>
      </c>
      <c r="C72" s="146"/>
      <c r="D72" s="146"/>
      <c r="E72" s="146"/>
      <c r="F72" s="146"/>
      <c r="G72" s="146"/>
      <c r="H72" s="95">
        <v>7731000</v>
      </c>
      <c r="I72" s="2"/>
    </row>
    <row r="73" spans="1:9" ht="41.25" customHeight="1" x14ac:dyDescent="0.2">
      <c r="B73" s="146" t="s">
        <v>26</v>
      </c>
      <c r="C73" s="146"/>
      <c r="D73" s="146"/>
      <c r="E73" s="146"/>
      <c r="F73" s="146"/>
      <c r="G73" s="146"/>
      <c r="H73" s="95">
        <f>(((H70/8)*(2.77/100))+(H70/8))*12</f>
        <v>43779132.067199998</v>
      </c>
      <c r="I73" s="62" t="s">
        <v>233</v>
      </c>
    </row>
    <row r="74" spans="1:9" ht="57" customHeight="1" x14ac:dyDescent="0.2">
      <c r="B74" s="146" t="s">
        <v>25</v>
      </c>
      <c r="C74" s="146"/>
      <c r="D74" s="146"/>
      <c r="E74" s="146"/>
      <c r="F74" s="146"/>
      <c r="G74" s="146"/>
      <c r="H74" s="95">
        <f>(((H71/8)*(4.66/100))+(H71/8))*12</f>
        <v>429976436.74518847</v>
      </c>
      <c r="I74" s="62" t="s">
        <v>234</v>
      </c>
    </row>
    <row r="75" spans="1:9" ht="57" customHeight="1" x14ac:dyDescent="0.2">
      <c r="B75" s="146" t="s">
        <v>203</v>
      </c>
      <c r="C75" s="146"/>
      <c r="D75" s="146"/>
      <c r="E75" s="146"/>
      <c r="F75" s="146"/>
      <c r="G75" s="146"/>
      <c r="H75" s="95">
        <f>(((H72/8)*(3.66/100))+(H72/8))*12</f>
        <v>12020931.899999999</v>
      </c>
      <c r="I75" s="68"/>
    </row>
    <row r="76" spans="1:9" ht="38.25" customHeight="1" x14ac:dyDescent="0.2">
      <c r="B76" s="146" t="s">
        <v>23</v>
      </c>
      <c r="C76" s="146"/>
      <c r="D76" s="146"/>
      <c r="E76" s="146"/>
      <c r="F76" s="146"/>
      <c r="G76" s="146"/>
      <c r="H76" s="95">
        <f>(((H73/12)*(2.77/100))+(H73/12))*4</f>
        <v>14997271.341820478</v>
      </c>
      <c r="I76" s="62" t="s">
        <v>235</v>
      </c>
    </row>
    <row r="77" spans="1:9" ht="43.5" customHeight="1" x14ac:dyDescent="0.2">
      <c r="B77" s="146" t="s">
        <v>24</v>
      </c>
      <c r="C77" s="146"/>
      <c r="D77" s="146"/>
      <c r="E77" s="146"/>
      <c r="F77" s="146"/>
      <c r="G77" s="146"/>
      <c r="H77" s="95">
        <f>(((H74/12)*(4.66/100))+(H74/12))*4</f>
        <v>150004446.23250476</v>
      </c>
      <c r="I77" s="62" t="s">
        <v>236</v>
      </c>
    </row>
    <row r="78" spans="1:9" ht="38.25" customHeight="1" x14ac:dyDescent="0.2">
      <c r="B78" s="146" t="s">
        <v>204</v>
      </c>
      <c r="C78" s="146"/>
      <c r="D78" s="146"/>
      <c r="E78" s="146"/>
      <c r="F78" s="146"/>
      <c r="G78" s="146"/>
      <c r="H78" s="95">
        <f t="shared" ref="H78" si="20">(((H75/12)*(2.77/100))+(H75/12))*4</f>
        <v>4117970.5712099993</v>
      </c>
      <c r="I78" s="62" t="s">
        <v>237</v>
      </c>
    </row>
    <row r="79" spans="1:9" ht="38.25" customHeight="1" x14ac:dyDescent="0.2">
      <c r="B79" s="146" t="s">
        <v>193</v>
      </c>
      <c r="C79" s="146"/>
      <c r="D79" s="146"/>
      <c r="E79" s="146"/>
      <c r="F79" s="146"/>
      <c r="G79" s="146"/>
      <c r="H79" s="95">
        <f>SUM(H70:H78)</f>
        <v>964914399.81581175</v>
      </c>
      <c r="I79" s="62" t="s">
        <v>238</v>
      </c>
    </row>
    <row r="80" spans="1:9" x14ac:dyDescent="0.2">
      <c r="I80" s="71"/>
    </row>
    <row r="82" spans="1:13" x14ac:dyDescent="0.2">
      <c r="A82" s="153" t="s">
        <v>182</v>
      </c>
      <c r="B82" s="153"/>
      <c r="C82" s="153"/>
      <c r="D82" s="153"/>
      <c r="E82" s="153"/>
      <c r="F82" s="153"/>
      <c r="G82" s="153"/>
      <c r="H82" s="153"/>
    </row>
    <row r="83" spans="1:13" x14ac:dyDescent="0.2">
      <c r="A83" s="153"/>
      <c r="B83" s="153"/>
      <c r="C83" s="153"/>
      <c r="D83" s="153"/>
      <c r="E83" s="153"/>
      <c r="F83" s="153"/>
      <c r="G83" s="153"/>
      <c r="H83" s="153"/>
    </row>
    <row r="84" spans="1:13" x14ac:dyDescent="0.2">
      <c r="A84" s="153"/>
      <c r="B84" s="153"/>
      <c r="C84" s="153"/>
      <c r="D84" s="153"/>
      <c r="E84" s="153"/>
      <c r="F84" s="153"/>
      <c r="G84" s="153"/>
      <c r="H84" s="153"/>
    </row>
    <row r="85" spans="1:13" x14ac:dyDescent="0.2">
      <c r="A85" s="153"/>
      <c r="B85" s="153"/>
      <c r="C85" s="153"/>
      <c r="D85" s="153"/>
      <c r="E85" s="153"/>
      <c r="F85" s="153"/>
      <c r="G85" s="153"/>
      <c r="H85" s="153"/>
    </row>
    <row r="86" spans="1:13" ht="6.75" customHeight="1" x14ac:dyDescent="0.2"/>
    <row r="87" spans="1:13" ht="87.75" customHeight="1" x14ac:dyDescent="0.2">
      <c r="A87" s="48" t="s">
        <v>179</v>
      </c>
      <c r="B87" s="154" t="s">
        <v>180</v>
      </c>
      <c r="C87" s="154"/>
      <c r="D87" s="154"/>
      <c r="E87" s="154"/>
      <c r="F87" s="154"/>
      <c r="G87" s="154"/>
      <c r="H87" s="49" t="s">
        <v>181</v>
      </c>
      <c r="I87" s="47"/>
      <c r="J87" s="47"/>
      <c r="K87" s="47"/>
      <c r="L87" s="47"/>
      <c r="M87" s="47"/>
    </row>
    <row r="88" spans="1:13" ht="42" customHeight="1" x14ac:dyDescent="0.2">
      <c r="A88" s="73" t="s">
        <v>239</v>
      </c>
      <c r="B88" s="155" t="s">
        <v>240</v>
      </c>
      <c r="C88" s="156"/>
      <c r="D88" s="156"/>
      <c r="E88" s="156"/>
      <c r="F88" s="156"/>
      <c r="G88" s="157"/>
      <c r="H88" s="2" t="s">
        <v>243</v>
      </c>
    </row>
    <row r="89" spans="1:13" ht="25.5" x14ac:dyDescent="0.2">
      <c r="A89" s="74" t="s">
        <v>241</v>
      </c>
      <c r="B89" s="149" t="s">
        <v>242</v>
      </c>
      <c r="C89" s="150"/>
      <c r="D89" s="150"/>
      <c r="E89" s="150"/>
      <c r="F89" s="150"/>
      <c r="G89" s="151"/>
      <c r="H89" s="2" t="s">
        <v>50</v>
      </c>
    </row>
    <row r="90" spans="1:13" ht="31.5" customHeight="1" x14ac:dyDescent="0.2">
      <c r="A90" s="158" t="s">
        <v>183</v>
      </c>
      <c r="B90" s="158"/>
      <c r="C90" s="158"/>
      <c r="D90" s="158"/>
      <c r="E90" s="158"/>
      <c r="F90" s="158"/>
      <c r="G90" s="158"/>
      <c r="H90" s="158"/>
    </row>
    <row r="91" spans="1:13" ht="16.5" customHeight="1" x14ac:dyDescent="0.2">
      <c r="A91" s="116"/>
      <c r="B91" s="116"/>
      <c r="C91" s="116"/>
      <c r="D91" s="116"/>
      <c r="E91" s="116"/>
      <c r="F91" s="116"/>
      <c r="G91" s="116"/>
      <c r="H91" s="116"/>
    </row>
    <row r="92" spans="1:13" s="117" customFormat="1" ht="42.75" customHeight="1" x14ac:dyDescent="0.2">
      <c r="A92" s="127" t="s">
        <v>275</v>
      </c>
      <c r="B92" s="127"/>
      <c r="C92" s="127"/>
      <c r="D92" s="127"/>
      <c r="E92" s="127"/>
      <c r="F92" s="127"/>
      <c r="G92" s="127"/>
      <c r="H92" s="127"/>
      <c r="I92" s="127"/>
    </row>
    <row r="93" spans="1:13" ht="87.75" customHeight="1" x14ac:dyDescent="0.2">
      <c r="A93" s="152" t="s">
        <v>268</v>
      </c>
      <c r="B93" s="152"/>
      <c r="C93" s="152"/>
      <c r="D93" s="152"/>
      <c r="E93" s="152"/>
      <c r="F93" s="152"/>
      <c r="G93" s="152"/>
      <c r="H93" s="152"/>
      <c r="I93" s="152"/>
    </row>
    <row r="94" spans="1:13" ht="46.5" customHeight="1" x14ac:dyDescent="0.2">
      <c r="A94" s="127" t="s">
        <v>264</v>
      </c>
      <c r="B94" s="127"/>
      <c r="C94" s="127"/>
      <c r="D94" s="127"/>
      <c r="E94" s="127"/>
      <c r="F94" s="127"/>
      <c r="G94" s="127"/>
      <c r="H94" s="127"/>
      <c r="I94" s="127"/>
    </row>
    <row r="95" spans="1:13" ht="29.25" customHeight="1" x14ac:dyDescent="0.2">
      <c r="A95" s="127" t="s">
        <v>269</v>
      </c>
      <c r="B95" s="127"/>
      <c r="C95" s="127"/>
      <c r="D95" s="127"/>
      <c r="E95" s="127"/>
      <c r="F95" s="127"/>
      <c r="G95" s="127"/>
      <c r="H95" s="127"/>
      <c r="I95" s="127"/>
    </row>
    <row r="96" spans="1:13" x14ac:dyDescent="0.2">
      <c r="A96" s="127" t="s">
        <v>274</v>
      </c>
      <c r="B96" s="127"/>
      <c r="C96" s="127"/>
      <c r="D96" s="127"/>
      <c r="E96" s="127"/>
      <c r="F96" s="127"/>
      <c r="G96" s="127"/>
      <c r="H96" s="127"/>
      <c r="I96" s="127"/>
    </row>
  </sheetData>
  <mergeCells count="64">
    <mergeCell ref="A96:I96"/>
    <mergeCell ref="I1:I2"/>
    <mergeCell ref="B89:G89"/>
    <mergeCell ref="A93:I93"/>
    <mergeCell ref="A95:I95"/>
    <mergeCell ref="A94:I94"/>
    <mergeCell ref="B78:G78"/>
    <mergeCell ref="A82:H85"/>
    <mergeCell ref="B87:G87"/>
    <mergeCell ref="B88:G88"/>
    <mergeCell ref="A90:H90"/>
    <mergeCell ref="B79:G79"/>
    <mergeCell ref="B70:G70"/>
    <mergeCell ref="B73:G73"/>
    <mergeCell ref="B74:G74"/>
    <mergeCell ref="B76:G76"/>
    <mergeCell ref="B77:G77"/>
    <mergeCell ref="B71:G71"/>
    <mergeCell ref="B72:G72"/>
    <mergeCell ref="B75:G75"/>
    <mergeCell ref="B25:G25"/>
    <mergeCell ref="D37:D46"/>
    <mergeCell ref="D48:D57"/>
    <mergeCell ref="B28:C28"/>
    <mergeCell ref="D59:D68"/>
    <mergeCell ref="B36:G36"/>
    <mergeCell ref="B47:G47"/>
    <mergeCell ref="B58:G58"/>
    <mergeCell ref="B48:C48"/>
    <mergeCell ref="B49:C49"/>
    <mergeCell ref="B50:C50"/>
    <mergeCell ref="B27:C27"/>
    <mergeCell ref="B4:C4"/>
    <mergeCell ref="B5:C5"/>
    <mergeCell ref="A59:A69"/>
    <mergeCell ref="A37:A47"/>
    <mergeCell ref="B69:G69"/>
    <mergeCell ref="A48:A58"/>
    <mergeCell ref="B59:C59"/>
    <mergeCell ref="B60:C60"/>
    <mergeCell ref="B61:C61"/>
    <mergeCell ref="B37:C37"/>
    <mergeCell ref="B38:C38"/>
    <mergeCell ref="B39:C39"/>
    <mergeCell ref="D15:D24"/>
    <mergeCell ref="B16:C16"/>
    <mergeCell ref="B17:C17"/>
    <mergeCell ref="B26:C26"/>
    <mergeCell ref="B6:C6"/>
    <mergeCell ref="A92:I92"/>
    <mergeCell ref="H1:H2"/>
    <mergeCell ref="A1:C2"/>
    <mergeCell ref="F1:F2"/>
    <mergeCell ref="G1:G2"/>
    <mergeCell ref="B3:C3"/>
    <mergeCell ref="A26:A36"/>
    <mergeCell ref="D1:D2"/>
    <mergeCell ref="E1:E2"/>
    <mergeCell ref="D3:D13"/>
    <mergeCell ref="D26:D35"/>
    <mergeCell ref="A4:A14"/>
    <mergeCell ref="B14:G14"/>
    <mergeCell ref="A15:A25"/>
    <mergeCell ref="B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13" workbookViewId="0">
      <selection activeCell="A17" sqref="A17:D17"/>
    </sheetView>
  </sheetViews>
  <sheetFormatPr baseColWidth="10" defaultRowHeight="12.75" x14ac:dyDescent="0.2"/>
  <cols>
    <col min="1" max="1" width="62.140625" style="10" customWidth="1"/>
    <col min="2" max="3" width="30.5703125" style="10" customWidth="1"/>
    <col min="4" max="4" width="33.28515625" style="10" customWidth="1"/>
    <col min="5" max="16384" width="11.42578125" style="10"/>
  </cols>
  <sheetData>
    <row r="1" spans="1:11" ht="36.75" customHeight="1" x14ac:dyDescent="0.2">
      <c r="A1" s="57" t="s">
        <v>29</v>
      </c>
      <c r="B1" s="14" t="s">
        <v>195</v>
      </c>
      <c r="C1" s="14" t="s">
        <v>196</v>
      </c>
      <c r="D1" s="14" t="s">
        <v>197</v>
      </c>
      <c r="E1" s="56"/>
    </row>
    <row r="2" spans="1:11" ht="75" customHeight="1" x14ac:dyDescent="0.2">
      <c r="A2" s="11" t="s">
        <v>31</v>
      </c>
      <c r="B2" s="72">
        <v>100435069</v>
      </c>
      <c r="C2" s="72">
        <v>156178630</v>
      </c>
      <c r="D2" s="72">
        <v>53950415</v>
      </c>
      <c r="F2" s="75"/>
    </row>
    <row r="3" spans="1:11" ht="136.5" customHeight="1" x14ac:dyDescent="0.2">
      <c r="A3" s="11" t="s">
        <v>33</v>
      </c>
      <c r="B3" s="72">
        <v>1162885</v>
      </c>
      <c r="C3" s="72">
        <v>1814994</v>
      </c>
      <c r="D3" s="72">
        <v>631857</v>
      </c>
    </row>
    <row r="4" spans="1:11" ht="75.75" customHeight="1" x14ac:dyDescent="0.2">
      <c r="A4" s="11" t="s">
        <v>32</v>
      </c>
      <c r="B4" s="72">
        <v>39213861</v>
      </c>
      <c r="C4" s="72">
        <v>60913660</v>
      </c>
      <c r="D4" s="72">
        <v>20763000</v>
      </c>
      <c r="F4" s="80"/>
    </row>
    <row r="5" spans="1:11" ht="12.75" customHeight="1" x14ac:dyDescent="0.2">
      <c r="A5" s="58"/>
      <c r="B5" s="59"/>
    </row>
    <row r="6" spans="1:11" ht="24.75" customHeight="1" x14ac:dyDescent="0.2">
      <c r="A6" s="160" t="s">
        <v>192</v>
      </c>
      <c r="B6" s="160"/>
      <c r="C6" s="160">
        <f>(D4+D3+D2+C4+C3+C2+B4+B3+B2)</f>
        <v>435064371</v>
      </c>
      <c r="D6" s="160"/>
      <c r="E6" s="159"/>
      <c r="F6" s="159"/>
      <c r="G6" s="159"/>
      <c r="H6" s="159"/>
      <c r="I6" s="159"/>
      <c r="J6" s="159"/>
      <c r="K6" s="159"/>
    </row>
    <row r="7" spans="1:11" x14ac:dyDescent="0.2">
      <c r="A7" s="13"/>
    </row>
    <row r="8" spans="1:11" ht="12.75" customHeight="1" x14ac:dyDescent="0.2">
      <c r="A8" s="153" t="s">
        <v>182</v>
      </c>
      <c r="B8" s="153"/>
      <c r="C8" s="153"/>
      <c r="D8" s="153"/>
      <c r="E8" s="52"/>
      <c r="F8" s="52"/>
      <c r="G8" s="52"/>
      <c r="H8" s="52"/>
    </row>
    <row r="9" spans="1:11" x14ac:dyDescent="0.2">
      <c r="A9" s="153"/>
      <c r="B9" s="153"/>
      <c r="C9" s="153"/>
      <c r="D9" s="153"/>
      <c r="E9" s="52"/>
      <c r="F9" s="52"/>
      <c r="G9" s="52"/>
      <c r="H9" s="52"/>
    </row>
    <row r="10" spans="1:11" x14ac:dyDescent="0.2">
      <c r="A10" s="1"/>
      <c r="B10" s="1"/>
      <c r="C10" s="1"/>
      <c r="D10" s="1"/>
      <c r="E10" s="1"/>
      <c r="F10" s="1"/>
      <c r="G10" s="1"/>
      <c r="H10" s="1"/>
    </row>
    <row r="11" spans="1:11" ht="13.5" customHeight="1" x14ac:dyDescent="0.2">
      <c r="A11" s="1"/>
      <c r="B11" s="1"/>
      <c r="C11" s="1"/>
      <c r="D11" s="1"/>
      <c r="E11" s="1"/>
      <c r="F11" s="1"/>
      <c r="G11" s="1"/>
      <c r="H11" s="1"/>
    </row>
    <row r="12" spans="1:11" ht="81" customHeight="1" x14ac:dyDescent="0.2">
      <c r="A12" s="48" t="s">
        <v>179</v>
      </c>
      <c r="B12" s="163" t="s">
        <v>180</v>
      </c>
      <c r="C12" s="163"/>
      <c r="D12" s="49" t="s">
        <v>181</v>
      </c>
      <c r="E12" s="47"/>
      <c r="F12" s="47"/>
      <c r="G12" s="47"/>
    </row>
    <row r="13" spans="1:11" ht="78" customHeight="1" x14ac:dyDescent="0.2">
      <c r="A13" s="85" t="s">
        <v>239</v>
      </c>
      <c r="B13" s="164" t="s">
        <v>240</v>
      </c>
      <c r="C13" s="164"/>
      <c r="D13" s="12" t="s">
        <v>245</v>
      </c>
      <c r="E13" s="47"/>
      <c r="F13" s="47"/>
      <c r="G13" s="47"/>
      <c r="H13" s="53"/>
    </row>
    <row r="14" spans="1:11" ht="39" customHeight="1" x14ac:dyDescent="0.2">
      <c r="A14" s="86" t="s">
        <v>241</v>
      </c>
      <c r="B14" s="165" t="s">
        <v>242</v>
      </c>
      <c r="C14" s="165"/>
      <c r="D14" s="12" t="s">
        <v>50</v>
      </c>
    </row>
    <row r="15" spans="1:11" ht="28.5" customHeight="1" x14ac:dyDescent="0.2">
      <c r="A15" s="158" t="s">
        <v>183</v>
      </c>
      <c r="B15" s="158"/>
      <c r="C15" s="158"/>
      <c r="D15" s="54"/>
      <c r="E15" s="54"/>
      <c r="F15" s="54"/>
      <c r="G15" s="54"/>
      <c r="H15" s="54"/>
    </row>
    <row r="16" spans="1:11" ht="6.75" customHeight="1" x14ac:dyDescent="0.2">
      <c r="A16" s="64"/>
      <c r="B16" s="64"/>
      <c r="C16" s="64"/>
      <c r="D16" s="54"/>
      <c r="E16" s="54"/>
      <c r="F16" s="54"/>
      <c r="G16" s="54"/>
      <c r="H16" s="54"/>
    </row>
    <row r="17" spans="1:17" ht="72.75" customHeight="1" x14ac:dyDescent="0.2">
      <c r="A17" s="161" t="s">
        <v>265</v>
      </c>
      <c r="B17" s="162"/>
      <c r="C17" s="162"/>
      <c r="D17" s="162"/>
    </row>
    <row r="18" spans="1:17" ht="32.25" customHeight="1" x14ac:dyDescent="0.2">
      <c r="A18" s="161" t="s">
        <v>266</v>
      </c>
      <c r="B18" s="161"/>
      <c r="C18" s="161"/>
      <c r="D18" s="161"/>
    </row>
    <row r="19" spans="1:17" ht="19.5" customHeight="1" x14ac:dyDescent="0.2">
      <c r="A19" s="161" t="s">
        <v>250</v>
      </c>
      <c r="B19" s="161"/>
      <c r="C19" s="161"/>
      <c r="D19" s="161"/>
      <c r="E19" s="89"/>
      <c r="F19" s="89"/>
      <c r="G19" s="89"/>
      <c r="H19" s="89"/>
      <c r="I19" s="89"/>
      <c r="J19" s="89"/>
      <c r="K19" s="89"/>
      <c r="L19" s="89"/>
      <c r="M19" s="89"/>
      <c r="N19" s="89"/>
      <c r="O19" s="89"/>
      <c r="P19" s="89"/>
      <c r="Q19" s="89"/>
    </row>
    <row r="20" spans="1:17" ht="45" customHeight="1" x14ac:dyDescent="0.2">
      <c r="A20" s="161" t="s">
        <v>267</v>
      </c>
      <c r="B20" s="161"/>
      <c r="C20" s="161"/>
      <c r="D20" s="161"/>
    </row>
  </sheetData>
  <mergeCells count="12">
    <mergeCell ref="E6:K6"/>
    <mergeCell ref="A6:B6"/>
    <mergeCell ref="C6:D6"/>
    <mergeCell ref="A8:D9"/>
    <mergeCell ref="A20:D20"/>
    <mergeCell ref="A19:D19"/>
    <mergeCell ref="A18:D18"/>
    <mergeCell ref="A17:D17"/>
    <mergeCell ref="B12:C12"/>
    <mergeCell ref="B13:C13"/>
    <mergeCell ref="B14:C14"/>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50" zoomScaleNormal="100" workbookViewId="0">
      <selection activeCell="C63" sqref="C63"/>
    </sheetView>
  </sheetViews>
  <sheetFormatPr baseColWidth="10" defaultRowHeight="15" x14ac:dyDescent="0.25"/>
  <cols>
    <col min="1" max="2" width="11.42578125" style="15"/>
    <col min="3" max="3" width="15.5703125" style="15" customWidth="1"/>
    <col min="4" max="4" width="8.85546875" style="15" customWidth="1"/>
    <col min="5" max="5" width="9.85546875" style="15" customWidth="1"/>
    <col min="6" max="6" width="10.7109375" style="15" customWidth="1"/>
    <col min="7" max="7" width="11.42578125" style="15"/>
    <col min="8" max="8" width="14" style="15" customWidth="1"/>
    <col min="9" max="9" width="16.5703125" style="15" customWidth="1"/>
    <col min="10" max="10" width="6.42578125" style="15" customWidth="1"/>
    <col min="11" max="12" width="11.42578125" style="15"/>
    <col min="13" max="13" width="17.42578125" style="15" customWidth="1"/>
    <col min="14" max="16" width="11.42578125" style="15"/>
    <col min="17" max="17" width="17.42578125" style="15" customWidth="1"/>
    <col min="18" max="16384" width="11.42578125" style="15"/>
  </cols>
  <sheetData>
    <row r="1" spans="1:17" ht="45.75" customHeight="1" x14ac:dyDescent="0.25">
      <c r="A1" s="186" t="s">
        <v>34</v>
      </c>
      <c r="B1" s="187"/>
      <c r="C1" s="187"/>
      <c r="D1" s="187"/>
      <c r="E1" s="188"/>
      <c r="F1" s="171" t="s">
        <v>142</v>
      </c>
      <c r="G1" s="171"/>
      <c r="H1" s="171"/>
      <c r="I1" s="171"/>
      <c r="J1" s="171" t="s">
        <v>143</v>
      </c>
      <c r="K1" s="171"/>
      <c r="L1" s="171"/>
      <c r="M1" s="171"/>
      <c r="N1" s="171" t="s">
        <v>144</v>
      </c>
      <c r="O1" s="171"/>
      <c r="P1" s="171"/>
      <c r="Q1" s="171"/>
    </row>
    <row r="2" spans="1:17" ht="39" customHeight="1" x14ac:dyDescent="0.25">
      <c r="A2" s="169" t="s">
        <v>133</v>
      </c>
      <c r="B2" s="169"/>
      <c r="C2" s="169"/>
      <c r="D2" s="21" t="s">
        <v>134</v>
      </c>
      <c r="E2" s="21" t="s">
        <v>135</v>
      </c>
      <c r="F2" s="21" t="s">
        <v>139</v>
      </c>
      <c r="G2" s="21" t="s">
        <v>140</v>
      </c>
      <c r="H2" s="21" t="s">
        <v>194</v>
      </c>
      <c r="I2" s="21" t="s">
        <v>176</v>
      </c>
      <c r="J2" s="21" t="s">
        <v>138</v>
      </c>
      <c r="K2" s="21" t="s">
        <v>141</v>
      </c>
      <c r="L2" s="21" t="s">
        <v>194</v>
      </c>
      <c r="M2" s="21" t="s">
        <v>176</v>
      </c>
      <c r="N2" s="21" t="s">
        <v>136</v>
      </c>
      <c r="O2" s="21" t="s">
        <v>141</v>
      </c>
      <c r="P2" s="21" t="s">
        <v>194</v>
      </c>
      <c r="Q2" s="21" t="s">
        <v>176</v>
      </c>
    </row>
    <row r="3" spans="1:17" x14ac:dyDescent="0.25">
      <c r="A3" s="21" t="s">
        <v>35</v>
      </c>
      <c r="B3" s="21" t="s">
        <v>36</v>
      </c>
      <c r="C3" s="21" t="s">
        <v>37</v>
      </c>
      <c r="D3" s="22"/>
      <c r="E3" s="22"/>
      <c r="F3" s="22"/>
      <c r="G3" s="21"/>
      <c r="H3" s="21"/>
      <c r="I3" s="21"/>
      <c r="J3" s="22"/>
      <c r="K3" s="21"/>
      <c r="L3" s="21"/>
      <c r="M3" s="21"/>
      <c r="N3" s="22"/>
      <c r="O3" s="21"/>
      <c r="P3" s="21"/>
      <c r="Q3" s="21"/>
    </row>
    <row r="4" spans="1:17" x14ac:dyDescent="0.25">
      <c r="A4" s="23" t="s">
        <v>38</v>
      </c>
      <c r="B4" s="23" t="s">
        <v>39</v>
      </c>
      <c r="C4" s="23" t="s">
        <v>40</v>
      </c>
      <c r="D4" s="24">
        <v>100</v>
      </c>
      <c r="E4" s="24"/>
      <c r="F4" s="24">
        <v>1</v>
      </c>
      <c r="G4" s="82">
        <v>676305</v>
      </c>
      <c r="H4" s="82">
        <f>(G4*16%)</f>
        <v>108208.8</v>
      </c>
      <c r="I4" s="82">
        <f>(G4+H4)</f>
        <v>784513.8</v>
      </c>
      <c r="J4" s="24">
        <v>2</v>
      </c>
      <c r="K4" s="82">
        <f>(G4*3.66%)+G4</f>
        <v>701057.76300000004</v>
      </c>
      <c r="L4" s="82">
        <f>(K4*16%)</f>
        <v>112169.24208000001</v>
      </c>
      <c r="M4" s="82">
        <f>(L4+K4)*J4</f>
        <v>1626454.0101600001</v>
      </c>
      <c r="N4" s="24">
        <v>1</v>
      </c>
      <c r="O4" s="82">
        <f>(K4*3.66%)+K4</f>
        <v>726716.47712579998</v>
      </c>
      <c r="P4" s="82">
        <f>(O4*16%)</f>
        <v>116274.636340128</v>
      </c>
      <c r="Q4" s="82">
        <f>(O4+P4)</f>
        <v>842991.11346592801</v>
      </c>
    </row>
    <row r="5" spans="1:17" ht="60" customHeight="1" x14ac:dyDescent="0.25">
      <c r="A5" s="23" t="s">
        <v>41</v>
      </c>
      <c r="B5" s="23" t="s">
        <v>42</v>
      </c>
      <c r="C5" s="23" t="s">
        <v>43</v>
      </c>
      <c r="D5" s="24">
        <v>66.510000000000005</v>
      </c>
      <c r="E5" s="24"/>
      <c r="F5" s="24">
        <v>1</v>
      </c>
      <c r="G5" s="82">
        <v>449811</v>
      </c>
      <c r="H5" s="82">
        <f t="shared" ref="H5:H43" si="0">(G5*16%)</f>
        <v>71969.759999999995</v>
      </c>
      <c r="I5" s="82">
        <f t="shared" ref="I5:I43" si="1">(G5+H5)</f>
        <v>521780.76</v>
      </c>
      <c r="J5" s="24">
        <v>2</v>
      </c>
      <c r="K5" s="82">
        <f t="shared" ref="K5:K43" si="2">(G5*3.66%)+G5</f>
        <v>466274.08260000002</v>
      </c>
      <c r="L5" s="82">
        <f t="shared" ref="L5:L43" si="3">(K5*16%)</f>
        <v>74603.853216000003</v>
      </c>
      <c r="M5" s="82">
        <f t="shared" ref="M5:M31" si="4">(L5+K5)*J5</f>
        <v>1081755.871632</v>
      </c>
      <c r="N5" s="24">
        <v>1</v>
      </c>
      <c r="O5" s="82">
        <f t="shared" ref="O5:O43" si="5">(K5*3.66%)+K5</f>
        <v>483339.71402316005</v>
      </c>
      <c r="P5" s="82">
        <f t="shared" ref="P5:P43" si="6">(O5*16%)</f>
        <v>77334.354243705617</v>
      </c>
      <c r="Q5" s="82">
        <f t="shared" ref="Q5:Q43" si="7">(O5+P5)</f>
        <v>560674.06826686568</v>
      </c>
    </row>
    <row r="6" spans="1:17" ht="60" customHeight="1" x14ac:dyDescent="0.25">
      <c r="A6" s="23" t="s">
        <v>44</v>
      </c>
      <c r="B6" s="23" t="s">
        <v>45</v>
      </c>
      <c r="C6" s="23" t="s">
        <v>46</v>
      </c>
      <c r="D6" s="24">
        <v>72.31</v>
      </c>
      <c r="E6" s="24"/>
      <c r="F6" s="24">
        <v>1</v>
      </c>
      <c r="G6" s="82">
        <v>489036</v>
      </c>
      <c r="H6" s="82">
        <f t="shared" si="0"/>
        <v>78245.759999999995</v>
      </c>
      <c r="I6" s="82">
        <f t="shared" si="1"/>
        <v>567281.76</v>
      </c>
      <c r="J6" s="24">
        <v>2</v>
      </c>
      <c r="K6" s="82">
        <f t="shared" si="2"/>
        <v>506934.71759999997</v>
      </c>
      <c r="L6" s="82">
        <f t="shared" si="3"/>
        <v>81109.554816000003</v>
      </c>
      <c r="M6" s="82">
        <f t="shared" si="4"/>
        <v>1176088.544832</v>
      </c>
      <c r="N6" s="24">
        <v>1</v>
      </c>
      <c r="O6" s="82">
        <f t="shared" si="5"/>
        <v>525488.52826415992</v>
      </c>
      <c r="P6" s="82">
        <f t="shared" si="6"/>
        <v>84078.164522265593</v>
      </c>
      <c r="Q6" s="82">
        <f t="shared" si="7"/>
        <v>609566.69278642547</v>
      </c>
    </row>
    <row r="7" spans="1:17" ht="72" customHeight="1" x14ac:dyDescent="0.25">
      <c r="A7" s="23" t="s">
        <v>47</v>
      </c>
      <c r="B7" s="23" t="s">
        <v>48</v>
      </c>
      <c r="C7" s="23" t="s">
        <v>49</v>
      </c>
      <c r="D7" s="24">
        <v>149.63</v>
      </c>
      <c r="E7" s="24"/>
      <c r="F7" s="24">
        <v>1</v>
      </c>
      <c r="G7" s="82">
        <v>1011956</v>
      </c>
      <c r="H7" s="82">
        <f t="shared" si="0"/>
        <v>161912.95999999999</v>
      </c>
      <c r="I7" s="82">
        <f t="shared" si="1"/>
        <v>1173868.96</v>
      </c>
      <c r="J7" s="24">
        <v>2</v>
      </c>
      <c r="K7" s="82">
        <f t="shared" si="2"/>
        <v>1048993.5896000001</v>
      </c>
      <c r="L7" s="82">
        <f t="shared" si="3"/>
        <v>167838.97433600001</v>
      </c>
      <c r="M7" s="82">
        <f t="shared" si="4"/>
        <v>2433665.127872</v>
      </c>
      <c r="N7" s="24">
        <v>1</v>
      </c>
      <c r="O7" s="82">
        <f t="shared" si="5"/>
        <v>1087386.7549793602</v>
      </c>
      <c r="P7" s="82">
        <f t="shared" si="6"/>
        <v>173981.88079669763</v>
      </c>
      <c r="Q7" s="82">
        <f t="shared" si="7"/>
        <v>1261368.6357760578</v>
      </c>
    </row>
    <row r="8" spans="1:17" ht="60" customHeight="1" x14ac:dyDescent="0.25">
      <c r="A8" s="23" t="s">
        <v>50</v>
      </c>
      <c r="B8" s="23" t="s">
        <v>51</v>
      </c>
      <c r="C8" s="23" t="s">
        <v>52</v>
      </c>
      <c r="D8" s="24">
        <v>90</v>
      </c>
      <c r="E8" s="24"/>
      <c r="F8" s="24">
        <v>1</v>
      </c>
      <c r="G8" s="82">
        <v>608675</v>
      </c>
      <c r="H8" s="82"/>
      <c r="I8" s="82">
        <f t="shared" si="1"/>
        <v>608675</v>
      </c>
      <c r="J8" s="24">
        <v>2</v>
      </c>
      <c r="K8" s="82">
        <f t="shared" si="2"/>
        <v>630952.505</v>
      </c>
      <c r="L8" s="82"/>
      <c r="M8" s="82">
        <f t="shared" si="4"/>
        <v>1261905.01</v>
      </c>
      <c r="N8" s="24">
        <v>1</v>
      </c>
      <c r="O8" s="82">
        <f t="shared" si="5"/>
        <v>654045.366683</v>
      </c>
      <c r="P8" s="82"/>
      <c r="Q8" s="82">
        <f t="shared" si="7"/>
        <v>654045.366683</v>
      </c>
    </row>
    <row r="9" spans="1:17" ht="72" customHeight="1" x14ac:dyDescent="0.25">
      <c r="A9" s="23" t="s">
        <v>53</v>
      </c>
      <c r="B9" s="23" t="s">
        <v>54</v>
      </c>
      <c r="C9" s="23" t="s">
        <v>55</v>
      </c>
      <c r="D9" s="24">
        <v>250</v>
      </c>
      <c r="E9" s="24"/>
      <c r="F9" s="24">
        <v>1</v>
      </c>
      <c r="G9" s="82">
        <v>1690764</v>
      </c>
      <c r="H9" s="82">
        <f t="shared" si="0"/>
        <v>270522.23999999999</v>
      </c>
      <c r="I9" s="82">
        <f t="shared" si="1"/>
        <v>1961286.24</v>
      </c>
      <c r="J9" s="24">
        <v>2</v>
      </c>
      <c r="K9" s="82">
        <f t="shared" si="2"/>
        <v>1752645.9624000001</v>
      </c>
      <c r="L9" s="82">
        <f t="shared" si="3"/>
        <v>280423.35398400004</v>
      </c>
      <c r="M9" s="82">
        <f t="shared" si="4"/>
        <v>4066138.6327680005</v>
      </c>
      <c r="N9" s="24">
        <v>1</v>
      </c>
      <c r="O9" s="82">
        <f t="shared" si="5"/>
        <v>1816792.8046238401</v>
      </c>
      <c r="P9" s="82">
        <f t="shared" si="6"/>
        <v>290686.84873981442</v>
      </c>
      <c r="Q9" s="82">
        <f t="shared" si="7"/>
        <v>2107479.6533636544</v>
      </c>
    </row>
    <row r="10" spans="1:17" ht="72" customHeight="1" x14ac:dyDescent="0.25">
      <c r="A10" s="23" t="s">
        <v>56</v>
      </c>
      <c r="B10" s="23" t="s">
        <v>57</v>
      </c>
      <c r="C10" s="23" t="s">
        <v>58</v>
      </c>
      <c r="D10" s="24">
        <v>100</v>
      </c>
      <c r="E10" s="24"/>
      <c r="F10" s="24">
        <v>1</v>
      </c>
      <c r="G10" s="82">
        <v>676305</v>
      </c>
      <c r="H10" s="82">
        <f t="shared" si="0"/>
        <v>108208.8</v>
      </c>
      <c r="I10" s="82">
        <f t="shared" si="1"/>
        <v>784513.8</v>
      </c>
      <c r="J10" s="24">
        <v>2</v>
      </c>
      <c r="K10" s="82">
        <f t="shared" si="2"/>
        <v>701057.76300000004</v>
      </c>
      <c r="L10" s="82">
        <f t="shared" si="3"/>
        <v>112169.24208000001</v>
      </c>
      <c r="M10" s="82">
        <f t="shared" si="4"/>
        <v>1626454.0101600001</v>
      </c>
      <c r="N10" s="24">
        <v>1</v>
      </c>
      <c r="O10" s="82">
        <f t="shared" si="5"/>
        <v>726716.47712579998</v>
      </c>
      <c r="P10" s="82">
        <f t="shared" si="6"/>
        <v>116274.636340128</v>
      </c>
      <c r="Q10" s="82">
        <f t="shared" si="7"/>
        <v>842991.11346592801</v>
      </c>
    </row>
    <row r="11" spans="1:17" ht="60" customHeight="1" x14ac:dyDescent="0.25">
      <c r="A11" s="23" t="s">
        <v>59</v>
      </c>
      <c r="B11" s="23" t="s">
        <v>60</v>
      </c>
      <c r="C11" s="23" t="s">
        <v>61</v>
      </c>
      <c r="D11" s="24">
        <v>64.19</v>
      </c>
      <c r="E11" s="24"/>
      <c r="F11" s="24">
        <v>1</v>
      </c>
      <c r="G11" s="82">
        <v>434120</v>
      </c>
      <c r="H11" s="82">
        <f t="shared" si="0"/>
        <v>69459.199999999997</v>
      </c>
      <c r="I11" s="82">
        <f t="shared" si="1"/>
        <v>503579.2</v>
      </c>
      <c r="J11" s="24">
        <v>2</v>
      </c>
      <c r="K11" s="82">
        <f t="shared" si="2"/>
        <v>450008.79200000002</v>
      </c>
      <c r="L11" s="82">
        <f t="shared" si="3"/>
        <v>72001.406719999999</v>
      </c>
      <c r="M11" s="82">
        <f t="shared" si="4"/>
        <v>1044020.39744</v>
      </c>
      <c r="N11" s="24">
        <v>1</v>
      </c>
      <c r="O11" s="82">
        <f t="shared" si="5"/>
        <v>466479.11378720001</v>
      </c>
      <c r="P11" s="82">
        <f t="shared" si="6"/>
        <v>74636.658205952001</v>
      </c>
      <c r="Q11" s="82">
        <f t="shared" si="7"/>
        <v>541115.77199315198</v>
      </c>
    </row>
    <row r="12" spans="1:17" ht="60" customHeight="1" x14ac:dyDescent="0.25">
      <c r="A12" s="23" t="s">
        <v>62</v>
      </c>
      <c r="B12" s="23" t="s">
        <v>63</v>
      </c>
      <c r="C12" s="23" t="s">
        <v>64</v>
      </c>
      <c r="D12" s="24">
        <v>85.09</v>
      </c>
      <c r="E12" s="24"/>
      <c r="F12" s="24">
        <v>1</v>
      </c>
      <c r="G12" s="82">
        <v>575468</v>
      </c>
      <c r="H12" s="82">
        <f t="shared" si="0"/>
        <v>92074.880000000005</v>
      </c>
      <c r="I12" s="82">
        <f t="shared" si="1"/>
        <v>667542.88</v>
      </c>
      <c r="J12" s="24">
        <v>2</v>
      </c>
      <c r="K12" s="82">
        <f t="shared" si="2"/>
        <v>596530.12879999995</v>
      </c>
      <c r="L12" s="82">
        <f t="shared" si="3"/>
        <v>95444.820607999995</v>
      </c>
      <c r="M12" s="82">
        <f t="shared" si="4"/>
        <v>1383949.898816</v>
      </c>
      <c r="N12" s="24">
        <v>1</v>
      </c>
      <c r="O12" s="82">
        <f t="shared" si="5"/>
        <v>618363.13151407999</v>
      </c>
      <c r="P12" s="82">
        <f t="shared" si="6"/>
        <v>98938.101042252805</v>
      </c>
      <c r="Q12" s="82">
        <f t="shared" si="7"/>
        <v>717301.23255633283</v>
      </c>
    </row>
    <row r="13" spans="1:17" ht="24" customHeight="1" x14ac:dyDescent="0.25">
      <c r="A13" s="23" t="s">
        <v>65</v>
      </c>
      <c r="B13" s="23" t="s">
        <v>66</v>
      </c>
      <c r="C13" s="23" t="s">
        <v>67</v>
      </c>
      <c r="D13" s="24">
        <v>100</v>
      </c>
      <c r="E13" s="24"/>
      <c r="F13" s="24">
        <v>1</v>
      </c>
      <c r="G13" s="82">
        <v>676305</v>
      </c>
      <c r="H13" s="82">
        <f t="shared" si="0"/>
        <v>108208.8</v>
      </c>
      <c r="I13" s="82">
        <f t="shared" si="1"/>
        <v>784513.8</v>
      </c>
      <c r="J13" s="24">
        <v>2</v>
      </c>
      <c r="K13" s="82">
        <f t="shared" si="2"/>
        <v>701057.76300000004</v>
      </c>
      <c r="L13" s="82">
        <f t="shared" si="3"/>
        <v>112169.24208000001</v>
      </c>
      <c r="M13" s="82">
        <f t="shared" si="4"/>
        <v>1626454.0101600001</v>
      </c>
      <c r="N13" s="24">
        <v>1</v>
      </c>
      <c r="O13" s="82">
        <f t="shared" si="5"/>
        <v>726716.47712579998</v>
      </c>
      <c r="P13" s="82">
        <f t="shared" si="6"/>
        <v>116274.636340128</v>
      </c>
      <c r="Q13" s="82">
        <f t="shared" si="7"/>
        <v>842991.11346592801</v>
      </c>
    </row>
    <row r="14" spans="1:17" ht="66" customHeight="1" x14ac:dyDescent="0.25">
      <c r="A14" s="23" t="s">
        <v>68</v>
      </c>
      <c r="B14" s="23" t="s">
        <v>69</v>
      </c>
      <c r="C14" s="23" t="s">
        <v>70</v>
      </c>
      <c r="D14" s="24">
        <v>74.92</v>
      </c>
      <c r="E14" s="24"/>
      <c r="F14" s="24">
        <v>1</v>
      </c>
      <c r="G14" s="82">
        <v>506688</v>
      </c>
      <c r="H14" s="82">
        <f t="shared" si="0"/>
        <v>81070.080000000002</v>
      </c>
      <c r="I14" s="82">
        <f t="shared" si="1"/>
        <v>587758.07999999996</v>
      </c>
      <c r="J14" s="24">
        <v>2</v>
      </c>
      <c r="K14" s="82">
        <f t="shared" si="2"/>
        <v>525232.78079999995</v>
      </c>
      <c r="L14" s="82">
        <f t="shared" si="3"/>
        <v>84037.244928</v>
      </c>
      <c r="M14" s="82">
        <f t="shared" si="4"/>
        <v>1218540.051456</v>
      </c>
      <c r="N14" s="24">
        <v>1</v>
      </c>
      <c r="O14" s="82">
        <f t="shared" si="5"/>
        <v>544456.30057728</v>
      </c>
      <c r="P14" s="82">
        <f t="shared" si="6"/>
        <v>87113.008092364806</v>
      </c>
      <c r="Q14" s="82">
        <f t="shared" si="7"/>
        <v>631569.30866964476</v>
      </c>
    </row>
    <row r="15" spans="1:17" ht="84" x14ac:dyDescent="0.25">
      <c r="A15" s="23" t="s">
        <v>71</v>
      </c>
      <c r="B15" s="23" t="s">
        <v>72</v>
      </c>
      <c r="C15" s="23" t="s">
        <v>73</v>
      </c>
      <c r="D15" s="24">
        <v>100</v>
      </c>
      <c r="E15" s="24"/>
      <c r="F15" s="24">
        <v>1</v>
      </c>
      <c r="G15" s="82">
        <v>676305</v>
      </c>
      <c r="H15" s="82"/>
      <c r="I15" s="82">
        <f t="shared" si="1"/>
        <v>676305</v>
      </c>
      <c r="J15" s="24">
        <v>2</v>
      </c>
      <c r="K15" s="82">
        <f t="shared" si="2"/>
        <v>701057.76300000004</v>
      </c>
      <c r="L15" s="82"/>
      <c r="M15" s="82">
        <f t="shared" si="4"/>
        <v>1402115.5260000001</v>
      </c>
      <c r="N15" s="24">
        <v>1</v>
      </c>
      <c r="O15" s="82">
        <f t="shared" si="5"/>
        <v>726716.47712579998</v>
      </c>
      <c r="P15" s="82"/>
      <c r="Q15" s="82">
        <f t="shared" si="7"/>
        <v>726716.47712579998</v>
      </c>
    </row>
    <row r="16" spans="1:17" ht="36" customHeight="1" x14ac:dyDescent="0.25">
      <c r="A16" s="23" t="s">
        <v>74</v>
      </c>
      <c r="B16" s="23" t="s">
        <v>75</v>
      </c>
      <c r="C16" s="23" t="s">
        <v>76</v>
      </c>
      <c r="D16" s="24">
        <v>165.45</v>
      </c>
      <c r="E16" s="24"/>
      <c r="F16" s="24">
        <v>1</v>
      </c>
      <c r="G16" s="82">
        <v>1118947</v>
      </c>
      <c r="H16" s="82">
        <f t="shared" si="0"/>
        <v>179031.52</v>
      </c>
      <c r="I16" s="82">
        <f t="shared" si="1"/>
        <v>1297978.52</v>
      </c>
      <c r="J16" s="24">
        <v>2</v>
      </c>
      <c r="K16" s="82">
        <f t="shared" si="2"/>
        <v>1159900.4602000001</v>
      </c>
      <c r="L16" s="82">
        <f t="shared" si="3"/>
        <v>185584.07363200001</v>
      </c>
      <c r="M16" s="82">
        <f t="shared" si="4"/>
        <v>2690969.0676640002</v>
      </c>
      <c r="N16" s="24">
        <v>1</v>
      </c>
      <c r="O16" s="82">
        <f t="shared" si="5"/>
        <v>1202352.81704332</v>
      </c>
      <c r="P16" s="82">
        <f t="shared" si="6"/>
        <v>192376.45072693122</v>
      </c>
      <c r="Q16" s="82">
        <f t="shared" si="7"/>
        <v>1394729.2677702513</v>
      </c>
    </row>
    <row r="17" spans="1:17" ht="60" customHeight="1" x14ac:dyDescent="0.25">
      <c r="A17" s="23" t="s">
        <v>74</v>
      </c>
      <c r="B17" s="23" t="s">
        <v>77</v>
      </c>
      <c r="C17" s="23" t="s">
        <v>78</v>
      </c>
      <c r="D17" s="24" t="s">
        <v>79</v>
      </c>
      <c r="E17" s="24"/>
      <c r="F17" s="24">
        <v>1</v>
      </c>
      <c r="G17" s="82">
        <v>227374</v>
      </c>
      <c r="H17" s="82">
        <f t="shared" si="0"/>
        <v>36379.840000000004</v>
      </c>
      <c r="I17" s="82">
        <f t="shared" si="1"/>
        <v>263753.84000000003</v>
      </c>
      <c r="J17" s="24">
        <v>2</v>
      </c>
      <c r="K17" s="82">
        <f t="shared" si="2"/>
        <v>235695.8884</v>
      </c>
      <c r="L17" s="82">
        <f t="shared" si="3"/>
        <v>37711.342144000002</v>
      </c>
      <c r="M17" s="82">
        <f t="shared" si="4"/>
        <v>546814.46108799998</v>
      </c>
      <c r="N17" s="24">
        <v>1</v>
      </c>
      <c r="O17" s="82">
        <f t="shared" si="5"/>
        <v>244322.35791543999</v>
      </c>
      <c r="P17" s="82">
        <f t="shared" si="6"/>
        <v>39091.577266470398</v>
      </c>
      <c r="Q17" s="82">
        <f t="shared" si="7"/>
        <v>283413.9351819104</v>
      </c>
    </row>
    <row r="18" spans="1:17" ht="48" x14ac:dyDescent="0.25">
      <c r="A18" s="23" t="s">
        <v>80</v>
      </c>
      <c r="B18" s="23" t="s">
        <v>81</v>
      </c>
      <c r="C18" s="23" t="s">
        <v>82</v>
      </c>
      <c r="D18" s="24">
        <v>109.63</v>
      </c>
      <c r="E18" s="24"/>
      <c r="F18" s="24">
        <v>1</v>
      </c>
      <c r="G18" s="82">
        <v>741434</v>
      </c>
      <c r="H18" s="82">
        <f t="shared" si="0"/>
        <v>118629.44</v>
      </c>
      <c r="I18" s="82">
        <f t="shared" si="1"/>
        <v>860063.44</v>
      </c>
      <c r="J18" s="24">
        <v>2</v>
      </c>
      <c r="K18" s="82">
        <f t="shared" si="2"/>
        <v>768570.48439999996</v>
      </c>
      <c r="L18" s="82">
        <f t="shared" si="3"/>
        <v>122971.277504</v>
      </c>
      <c r="M18" s="82">
        <f t="shared" si="4"/>
        <v>1783083.5238079999</v>
      </c>
      <c r="N18" s="24">
        <v>1</v>
      </c>
      <c r="O18" s="82">
        <f t="shared" si="5"/>
        <v>796700.16412903997</v>
      </c>
      <c r="P18" s="82">
        <f t="shared" si="6"/>
        <v>127472.02626064639</v>
      </c>
      <c r="Q18" s="82">
        <f t="shared" si="7"/>
        <v>924172.19038968638</v>
      </c>
    </row>
    <row r="19" spans="1:17" ht="24" x14ac:dyDescent="0.25">
      <c r="A19" s="23" t="s">
        <v>83</v>
      </c>
      <c r="B19" s="23" t="s">
        <v>84</v>
      </c>
      <c r="C19" s="23" t="s">
        <v>85</v>
      </c>
      <c r="D19" s="24">
        <v>472.02</v>
      </c>
      <c r="E19" s="24">
        <v>139.32</v>
      </c>
      <c r="F19" s="24">
        <v>1</v>
      </c>
      <c r="G19" s="82">
        <v>3192297</v>
      </c>
      <c r="H19" s="82">
        <f t="shared" si="0"/>
        <v>510767.52</v>
      </c>
      <c r="I19" s="82">
        <f t="shared" si="1"/>
        <v>3703064.52</v>
      </c>
      <c r="J19" s="24">
        <v>2</v>
      </c>
      <c r="K19" s="82">
        <f t="shared" si="2"/>
        <v>3309135.0702</v>
      </c>
      <c r="L19" s="82">
        <f t="shared" si="3"/>
        <v>529461.61123200005</v>
      </c>
      <c r="M19" s="82">
        <f t="shared" si="4"/>
        <v>7677193.3628639998</v>
      </c>
      <c r="N19" s="24">
        <v>1</v>
      </c>
      <c r="O19" s="82">
        <f t="shared" si="5"/>
        <v>3430249.4137693201</v>
      </c>
      <c r="P19" s="82">
        <f t="shared" si="6"/>
        <v>548839.90620309126</v>
      </c>
      <c r="Q19" s="82">
        <f t="shared" si="7"/>
        <v>3979089.3199724113</v>
      </c>
    </row>
    <row r="20" spans="1:17" ht="48" customHeight="1" x14ac:dyDescent="0.25">
      <c r="A20" s="23" t="s">
        <v>74</v>
      </c>
      <c r="B20" s="23" t="s">
        <v>86</v>
      </c>
      <c r="C20" s="23" t="s">
        <v>87</v>
      </c>
      <c r="D20" s="24">
        <v>123.56</v>
      </c>
      <c r="E20" s="24"/>
      <c r="F20" s="24">
        <v>1</v>
      </c>
      <c r="G20" s="82">
        <v>835643</v>
      </c>
      <c r="H20" s="82">
        <f t="shared" si="0"/>
        <v>133702.88</v>
      </c>
      <c r="I20" s="82">
        <f t="shared" si="1"/>
        <v>969345.88</v>
      </c>
      <c r="J20" s="24">
        <v>2</v>
      </c>
      <c r="K20" s="82">
        <f t="shared" si="2"/>
        <v>866227.53379999998</v>
      </c>
      <c r="L20" s="82">
        <f t="shared" si="3"/>
        <v>138596.40540799999</v>
      </c>
      <c r="M20" s="82">
        <f t="shared" si="4"/>
        <v>2009647.8784159999</v>
      </c>
      <c r="N20" s="24">
        <v>1</v>
      </c>
      <c r="O20" s="82">
        <f t="shared" si="5"/>
        <v>897931.46153708</v>
      </c>
      <c r="P20" s="82">
        <f t="shared" si="6"/>
        <v>143669.0338459328</v>
      </c>
      <c r="Q20" s="82">
        <f t="shared" si="7"/>
        <v>1041600.4953830128</v>
      </c>
    </row>
    <row r="21" spans="1:17" ht="60" customHeight="1" x14ac:dyDescent="0.25">
      <c r="A21" s="23" t="s">
        <v>88</v>
      </c>
      <c r="B21" s="23" t="s">
        <v>89</v>
      </c>
      <c r="C21" s="23" t="s">
        <v>90</v>
      </c>
      <c r="D21" s="24">
        <v>100</v>
      </c>
      <c r="E21" s="24"/>
      <c r="F21" s="24">
        <v>1</v>
      </c>
      <c r="G21" s="82">
        <v>675305</v>
      </c>
      <c r="H21" s="82">
        <f t="shared" si="0"/>
        <v>108048.8</v>
      </c>
      <c r="I21" s="82">
        <f t="shared" si="1"/>
        <v>783353.8</v>
      </c>
      <c r="J21" s="24">
        <v>2</v>
      </c>
      <c r="K21" s="82">
        <f t="shared" si="2"/>
        <v>700021.16299999994</v>
      </c>
      <c r="L21" s="82">
        <f t="shared" si="3"/>
        <v>112003.38608</v>
      </c>
      <c r="M21" s="82">
        <f t="shared" si="4"/>
        <v>1624049.0981599998</v>
      </c>
      <c r="N21" s="24">
        <v>1</v>
      </c>
      <c r="O21" s="82">
        <f t="shared" si="5"/>
        <v>725641.93756579992</v>
      </c>
      <c r="P21" s="82">
        <f t="shared" si="6"/>
        <v>116102.71001052798</v>
      </c>
      <c r="Q21" s="82">
        <f t="shared" si="7"/>
        <v>841744.6475763279</v>
      </c>
    </row>
    <row r="22" spans="1:17" ht="36" customHeight="1" x14ac:dyDescent="0.25">
      <c r="A22" s="23" t="s">
        <v>91</v>
      </c>
      <c r="B22" s="23" t="s">
        <v>92</v>
      </c>
      <c r="C22" s="23" t="s">
        <v>93</v>
      </c>
      <c r="D22" s="24">
        <v>345.73</v>
      </c>
      <c r="E22" s="24"/>
      <c r="F22" s="24">
        <v>1</v>
      </c>
      <c r="G22" s="82">
        <v>2338191</v>
      </c>
      <c r="H22" s="82">
        <f t="shared" si="0"/>
        <v>374110.56</v>
      </c>
      <c r="I22" s="82">
        <f t="shared" si="1"/>
        <v>2712301.56</v>
      </c>
      <c r="J22" s="24">
        <v>2</v>
      </c>
      <c r="K22" s="82">
        <f t="shared" si="2"/>
        <v>2423768.7905999999</v>
      </c>
      <c r="L22" s="82">
        <f t="shared" si="3"/>
        <v>387803.00649599999</v>
      </c>
      <c r="M22" s="82">
        <f t="shared" si="4"/>
        <v>5623143.5941920001</v>
      </c>
      <c r="N22" s="24">
        <v>1</v>
      </c>
      <c r="O22" s="82">
        <f t="shared" si="5"/>
        <v>2512478.7283359598</v>
      </c>
      <c r="P22" s="82">
        <f t="shared" si="6"/>
        <v>401996.59653375356</v>
      </c>
      <c r="Q22" s="82">
        <f t="shared" si="7"/>
        <v>2914475.3248697133</v>
      </c>
    </row>
    <row r="23" spans="1:17" ht="72" customHeight="1" x14ac:dyDescent="0.25">
      <c r="A23" s="23" t="s">
        <v>94</v>
      </c>
      <c r="B23" s="23" t="s">
        <v>95</v>
      </c>
      <c r="C23" s="23" t="s">
        <v>96</v>
      </c>
      <c r="D23" s="24">
        <v>106.5</v>
      </c>
      <c r="E23" s="24"/>
      <c r="F23" s="24">
        <v>1</v>
      </c>
      <c r="G23" s="82">
        <v>720265</v>
      </c>
      <c r="H23" s="82">
        <f t="shared" si="0"/>
        <v>115242.40000000001</v>
      </c>
      <c r="I23" s="82">
        <f t="shared" si="1"/>
        <v>835507.4</v>
      </c>
      <c r="J23" s="24">
        <v>2</v>
      </c>
      <c r="K23" s="83">
        <f t="shared" si="2"/>
        <v>746626.69900000002</v>
      </c>
      <c r="L23" s="83">
        <f t="shared" si="3"/>
        <v>119460.27184</v>
      </c>
      <c r="M23" s="83">
        <f t="shared" si="4"/>
        <v>1732173.9416800002</v>
      </c>
      <c r="N23" s="24">
        <v>1</v>
      </c>
      <c r="O23" s="82">
        <f t="shared" si="5"/>
        <v>773953.23618340003</v>
      </c>
      <c r="P23" s="82">
        <f t="shared" si="6"/>
        <v>123832.51778934401</v>
      </c>
      <c r="Q23" s="82">
        <f t="shared" si="7"/>
        <v>897785.7539727441</v>
      </c>
    </row>
    <row r="24" spans="1:17" ht="24" x14ac:dyDescent="0.25">
      <c r="A24" s="23" t="s">
        <v>97</v>
      </c>
      <c r="B24" s="23" t="s">
        <v>98</v>
      </c>
      <c r="C24" s="23" t="s">
        <v>99</v>
      </c>
      <c r="D24" s="24">
        <v>275.43</v>
      </c>
      <c r="E24" s="24"/>
      <c r="F24" s="24">
        <v>1</v>
      </c>
      <c r="G24" s="82">
        <v>1862748</v>
      </c>
      <c r="H24" s="82">
        <f t="shared" si="0"/>
        <v>298039.67999999999</v>
      </c>
      <c r="I24" s="82">
        <f t="shared" si="1"/>
        <v>2160787.6800000002</v>
      </c>
      <c r="J24" s="24">
        <v>2</v>
      </c>
      <c r="K24" s="82">
        <f t="shared" si="2"/>
        <v>1930924.5767999999</v>
      </c>
      <c r="L24" s="82">
        <f t="shared" si="3"/>
        <v>308947.93228800001</v>
      </c>
      <c r="M24" s="82">
        <f t="shared" si="4"/>
        <v>4479745.0181759996</v>
      </c>
      <c r="N24" s="24">
        <v>1</v>
      </c>
      <c r="O24" s="82">
        <f t="shared" si="5"/>
        <v>2001596.4163108799</v>
      </c>
      <c r="P24" s="82">
        <f t="shared" si="6"/>
        <v>320255.42660974077</v>
      </c>
      <c r="Q24" s="82">
        <f t="shared" si="7"/>
        <v>2321851.8429206205</v>
      </c>
    </row>
    <row r="25" spans="1:17" ht="36" customHeight="1" x14ac:dyDescent="0.25">
      <c r="A25" s="23" t="s">
        <v>100</v>
      </c>
      <c r="B25" s="23" t="s">
        <v>101</v>
      </c>
      <c r="C25" s="23" t="s">
        <v>102</v>
      </c>
      <c r="D25" s="24">
        <v>100</v>
      </c>
      <c r="E25" s="24"/>
      <c r="F25" s="24">
        <v>1</v>
      </c>
      <c r="G25" s="82">
        <v>676305</v>
      </c>
      <c r="H25" s="82">
        <f t="shared" si="0"/>
        <v>108208.8</v>
      </c>
      <c r="I25" s="82">
        <f t="shared" si="1"/>
        <v>784513.8</v>
      </c>
      <c r="J25" s="24">
        <v>2</v>
      </c>
      <c r="K25" s="82">
        <f t="shared" si="2"/>
        <v>701057.76300000004</v>
      </c>
      <c r="L25" s="82">
        <f t="shared" si="3"/>
        <v>112169.24208000001</v>
      </c>
      <c r="M25" s="82">
        <f t="shared" si="4"/>
        <v>1626454.0101600001</v>
      </c>
      <c r="N25" s="24">
        <v>1</v>
      </c>
      <c r="O25" s="82">
        <f t="shared" si="5"/>
        <v>726716.47712579998</v>
      </c>
      <c r="P25" s="82">
        <f t="shared" si="6"/>
        <v>116274.636340128</v>
      </c>
      <c r="Q25" s="82">
        <f t="shared" si="7"/>
        <v>842991.11346592801</v>
      </c>
    </row>
    <row r="26" spans="1:17" ht="57" customHeight="1" x14ac:dyDescent="0.25">
      <c r="A26" s="23" t="s">
        <v>103</v>
      </c>
      <c r="B26" s="23" t="s">
        <v>104</v>
      </c>
      <c r="C26" s="23" t="s">
        <v>105</v>
      </c>
      <c r="D26" s="24">
        <v>110.2</v>
      </c>
      <c r="E26" s="24"/>
      <c r="F26" s="24">
        <v>1</v>
      </c>
      <c r="G26" s="82">
        <v>745289</v>
      </c>
      <c r="H26" s="82">
        <f t="shared" si="0"/>
        <v>119246.24</v>
      </c>
      <c r="I26" s="82">
        <f t="shared" si="1"/>
        <v>864535.24</v>
      </c>
      <c r="J26" s="24">
        <v>2</v>
      </c>
      <c r="K26" s="82">
        <f t="shared" si="2"/>
        <v>772566.57739999995</v>
      </c>
      <c r="L26" s="82">
        <f t="shared" si="3"/>
        <v>123610.652384</v>
      </c>
      <c r="M26" s="82">
        <f t="shared" si="4"/>
        <v>1792354.4595679999</v>
      </c>
      <c r="N26" s="24">
        <v>1</v>
      </c>
      <c r="O26" s="82">
        <f t="shared" si="5"/>
        <v>800842.51413283998</v>
      </c>
      <c r="P26" s="82">
        <f t="shared" si="6"/>
        <v>128134.8022612544</v>
      </c>
      <c r="Q26" s="82">
        <f t="shared" si="7"/>
        <v>928977.31639409438</v>
      </c>
    </row>
    <row r="27" spans="1:17" ht="60" customHeight="1" x14ac:dyDescent="0.25">
      <c r="A27" s="23" t="s">
        <v>106</v>
      </c>
      <c r="B27" s="23" t="s">
        <v>107</v>
      </c>
      <c r="C27" s="23" t="s">
        <v>108</v>
      </c>
      <c r="D27" s="24">
        <v>270.63</v>
      </c>
      <c r="E27" s="24"/>
      <c r="F27" s="24">
        <v>1</v>
      </c>
      <c r="G27" s="82">
        <v>1830285</v>
      </c>
      <c r="H27" s="82">
        <f t="shared" si="0"/>
        <v>292845.60000000003</v>
      </c>
      <c r="I27" s="82">
        <f t="shared" si="1"/>
        <v>2123130.6</v>
      </c>
      <c r="J27" s="24">
        <v>2</v>
      </c>
      <c r="K27" s="82">
        <f t="shared" si="2"/>
        <v>1897273.4310000001</v>
      </c>
      <c r="L27" s="82">
        <f t="shared" si="3"/>
        <v>303563.74896</v>
      </c>
      <c r="M27" s="82">
        <f t="shared" si="4"/>
        <v>4401674.3599200007</v>
      </c>
      <c r="N27" s="24">
        <v>1</v>
      </c>
      <c r="O27" s="82">
        <f t="shared" si="5"/>
        <v>1966713.6385746002</v>
      </c>
      <c r="P27" s="82">
        <f t="shared" si="6"/>
        <v>314674.18217193603</v>
      </c>
      <c r="Q27" s="82">
        <f t="shared" si="7"/>
        <v>2281387.8207465364</v>
      </c>
    </row>
    <row r="28" spans="1:17" ht="60" customHeight="1" x14ac:dyDescent="0.25">
      <c r="A28" s="23" t="s">
        <v>109</v>
      </c>
      <c r="B28" s="23" t="s">
        <v>110</v>
      </c>
      <c r="C28" s="23" t="s">
        <v>111</v>
      </c>
      <c r="D28" s="24">
        <v>157.72999999999999</v>
      </c>
      <c r="E28" s="24"/>
      <c r="F28" s="24">
        <v>1</v>
      </c>
      <c r="G28" s="82">
        <v>1066737</v>
      </c>
      <c r="H28" s="82">
        <f t="shared" si="0"/>
        <v>170677.92</v>
      </c>
      <c r="I28" s="82">
        <f t="shared" si="1"/>
        <v>1237414.92</v>
      </c>
      <c r="J28" s="24">
        <v>2</v>
      </c>
      <c r="K28" s="82">
        <f t="shared" si="2"/>
        <v>1105779.5741999999</v>
      </c>
      <c r="L28" s="82">
        <f t="shared" si="3"/>
        <v>176924.731872</v>
      </c>
      <c r="M28" s="82">
        <f t="shared" si="4"/>
        <v>2565408.6121439999</v>
      </c>
      <c r="N28" s="24">
        <v>1</v>
      </c>
      <c r="O28" s="82">
        <f t="shared" si="5"/>
        <v>1146251.1066157199</v>
      </c>
      <c r="P28" s="82">
        <f t="shared" si="6"/>
        <v>183400.17705851517</v>
      </c>
      <c r="Q28" s="82">
        <f t="shared" si="7"/>
        <v>1329651.283674235</v>
      </c>
    </row>
    <row r="29" spans="1:17" ht="48" customHeight="1" x14ac:dyDescent="0.25">
      <c r="A29" s="23" t="s">
        <v>112</v>
      </c>
      <c r="B29" s="23" t="s">
        <v>113</v>
      </c>
      <c r="C29" s="23" t="s">
        <v>114</v>
      </c>
      <c r="D29" s="24">
        <v>92.37</v>
      </c>
      <c r="E29" s="24"/>
      <c r="F29" s="24">
        <v>1</v>
      </c>
      <c r="G29" s="82">
        <v>624703</v>
      </c>
      <c r="H29" s="82">
        <f t="shared" si="0"/>
        <v>99952.48</v>
      </c>
      <c r="I29" s="82">
        <f t="shared" si="1"/>
        <v>724655.48</v>
      </c>
      <c r="J29" s="24">
        <v>2</v>
      </c>
      <c r="K29" s="82">
        <f t="shared" si="2"/>
        <v>647567.1298</v>
      </c>
      <c r="L29" s="82">
        <f t="shared" si="3"/>
        <v>103610.740768</v>
      </c>
      <c r="M29" s="82">
        <f t="shared" si="4"/>
        <v>1502355.741136</v>
      </c>
      <c r="N29" s="24">
        <v>1</v>
      </c>
      <c r="O29" s="82">
        <f t="shared" si="5"/>
        <v>671268.08675068</v>
      </c>
      <c r="P29" s="82">
        <f t="shared" si="6"/>
        <v>107402.89388010881</v>
      </c>
      <c r="Q29" s="82">
        <f t="shared" si="7"/>
        <v>778670.98063078884</v>
      </c>
    </row>
    <row r="30" spans="1:17" ht="76.5" customHeight="1" x14ac:dyDescent="0.25">
      <c r="A30" s="23" t="s">
        <v>115</v>
      </c>
      <c r="B30" s="23" t="s">
        <v>116</v>
      </c>
      <c r="C30" s="23" t="s">
        <v>117</v>
      </c>
      <c r="D30" s="24">
        <v>18</v>
      </c>
      <c r="E30" s="24"/>
      <c r="F30" s="24">
        <v>1</v>
      </c>
      <c r="G30" s="82">
        <v>121735</v>
      </c>
      <c r="H30" s="82">
        <f t="shared" si="0"/>
        <v>19477.600000000002</v>
      </c>
      <c r="I30" s="82">
        <f t="shared" si="1"/>
        <v>141212.6</v>
      </c>
      <c r="J30" s="24">
        <v>2</v>
      </c>
      <c r="K30" s="82">
        <f t="shared" si="2"/>
        <v>126190.501</v>
      </c>
      <c r="L30" s="82">
        <f t="shared" si="3"/>
        <v>20190.480160000003</v>
      </c>
      <c r="M30" s="82">
        <f t="shared" si="4"/>
        <v>292761.96231999999</v>
      </c>
      <c r="N30" s="24">
        <v>1</v>
      </c>
      <c r="O30" s="82">
        <f t="shared" si="5"/>
        <v>130809.07333660001</v>
      </c>
      <c r="P30" s="82">
        <f t="shared" si="6"/>
        <v>20929.451733856</v>
      </c>
      <c r="Q30" s="82">
        <f t="shared" si="7"/>
        <v>151738.525070456</v>
      </c>
    </row>
    <row r="31" spans="1:17" x14ac:dyDescent="0.25">
      <c r="A31" s="170" t="s">
        <v>118</v>
      </c>
      <c r="B31" s="170" t="s">
        <v>119</v>
      </c>
      <c r="C31" s="23" t="s">
        <v>120</v>
      </c>
      <c r="D31" s="25">
        <v>468.1</v>
      </c>
      <c r="E31" s="24"/>
      <c r="F31" s="189">
        <v>1</v>
      </c>
      <c r="G31" s="82">
        <v>381236</v>
      </c>
      <c r="H31" s="82">
        <f t="shared" si="0"/>
        <v>60997.760000000002</v>
      </c>
      <c r="I31" s="82">
        <f t="shared" si="1"/>
        <v>442233.76</v>
      </c>
      <c r="J31" s="189">
        <v>2</v>
      </c>
      <c r="K31" s="82">
        <f t="shared" si="2"/>
        <v>395189.23759999999</v>
      </c>
      <c r="L31" s="82">
        <f t="shared" si="3"/>
        <v>63230.278016000004</v>
      </c>
      <c r="M31" s="82">
        <f t="shared" si="4"/>
        <v>916839.03123199998</v>
      </c>
      <c r="N31" s="24">
        <v>1</v>
      </c>
      <c r="O31" s="82">
        <f t="shared" si="5"/>
        <v>409653.16369616002</v>
      </c>
      <c r="P31" s="82">
        <f t="shared" si="6"/>
        <v>65544.506191385604</v>
      </c>
      <c r="Q31" s="82">
        <f t="shared" si="7"/>
        <v>475197.66988754563</v>
      </c>
    </row>
    <row r="32" spans="1:17" ht="24" x14ac:dyDescent="0.25">
      <c r="A32" s="170"/>
      <c r="B32" s="170"/>
      <c r="C32" s="23" t="s">
        <v>121</v>
      </c>
      <c r="D32" s="25">
        <v>1472.59</v>
      </c>
      <c r="E32" s="24"/>
      <c r="F32" s="190"/>
      <c r="G32" s="82">
        <v>1199325</v>
      </c>
      <c r="H32" s="82">
        <f t="shared" si="0"/>
        <v>191892</v>
      </c>
      <c r="I32" s="82">
        <f t="shared" si="1"/>
        <v>1391217</v>
      </c>
      <c r="J32" s="190"/>
      <c r="K32" s="82">
        <f t="shared" si="2"/>
        <v>1243220.2949999999</v>
      </c>
      <c r="L32" s="82">
        <f t="shared" si="3"/>
        <v>198915.24719999998</v>
      </c>
      <c r="M32" s="82">
        <f>(L32+K32)*J31</f>
        <v>2884271.0844000001</v>
      </c>
      <c r="N32" s="24">
        <v>1</v>
      </c>
      <c r="O32" s="82">
        <f t="shared" si="5"/>
        <v>1288722.1577969999</v>
      </c>
      <c r="P32" s="82">
        <f t="shared" si="6"/>
        <v>206195.54524752</v>
      </c>
      <c r="Q32" s="82">
        <f t="shared" si="7"/>
        <v>1494917.70304452</v>
      </c>
    </row>
    <row r="33" spans="1:17" x14ac:dyDescent="0.25">
      <c r="A33" s="170"/>
      <c r="B33" s="170"/>
      <c r="C33" s="23" t="s">
        <v>122</v>
      </c>
      <c r="D33" s="25"/>
      <c r="E33" s="24">
        <v>675.82</v>
      </c>
      <c r="F33" s="190"/>
      <c r="G33" s="82">
        <v>550410</v>
      </c>
      <c r="H33" s="82">
        <f t="shared" si="0"/>
        <v>88065.600000000006</v>
      </c>
      <c r="I33" s="82">
        <f t="shared" si="1"/>
        <v>638475.6</v>
      </c>
      <c r="J33" s="190"/>
      <c r="K33" s="82">
        <f t="shared" si="2"/>
        <v>570555.00600000005</v>
      </c>
      <c r="L33" s="82">
        <f t="shared" si="3"/>
        <v>91288.800960000008</v>
      </c>
      <c r="M33" s="82">
        <f>(L33+K33)*J31</f>
        <v>1323687.6139200001</v>
      </c>
      <c r="N33" s="24">
        <v>1</v>
      </c>
      <c r="O33" s="82">
        <f t="shared" si="5"/>
        <v>591437.31921960006</v>
      </c>
      <c r="P33" s="82">
        <f t="shared" si="6"/>
        <v>94629.971075136011</v>
      </c>
      <c r="Q33" s="82">
        <f t="shared" si="7"/>
        <v>686067.29029473604</v>
      </c>
    </row>
    <row r="34" spans="1:17" x14ac:dyDescent="0.25">
      <c r="A34" s="170"/>
      <c r="B34" s="170"/>
      <c r="C34" s="23" t="s">
        <v>123</v>
      </c>
      <c r="D34" s="25">
        <v>211.02</v>
      </c>
      <c r="E34" s="24"/>
      <c r="F34" s="190"/>
      <c r="G34" s="82">
        <v>171862</v>
      </c>
      <c r="H34" s="82">
        <f t="shared" si="0"/>
        <v>27497.920000000002</v>
      </c>
      <c r="I34" s="82">
        <f t="shared" si="1"/>
        <v>199359.92</v>
      </c>
      <c r="J34" s="190"/>
      <c r="K34" s="82">
        <f t="shared" si="2"/>
        <v>178152.14919999999</v>
      </c>
      <c r="L34" s="82">
        <f t="shared" si="3"/>
        <v>28504.343871999998</v>
      </c>
      <c r="M34" s="82">
        <f>(L34+K34)*J31</f>
        <v>413312.98614399997</v>
      </c>
      <c r="N34" s="24">
        <v>1</v>
      </c>
      <c r="O34" s="82">
        <f t="shared" si="5"/>
        <v>184672.51786071999</v>
      </c>
      <c r="P34" s="82">
        <f t="shared" si="6"/>
        <v>29547.602857715199</v>
      </c>
      <c r="Q34" s="82">
        <f t="shared" si="7"/>
        <v>214220.12071843518</v>
      </c>
    </row>
    <row r="35" spans="1:17" x14ac:dyDescent="0.25">
      <c r="A35" s="170"/>
      <c r="B35" s="170"/>
      <c r="C35" s="23" t="s">
        <v>124</v>
      </c>
      <c r="D35" s="25">
        <v>573.64</v>
      </c>
      <c r="E35" s="24"/>
      <c r="F35" s="190"/>
      <c r="G35" s="82">
        <v>467191</v>
      </c>
      <c r="H35" s="82">
        <f t="shared" si="0"/>
        <v>74750.559999999998</v>
      </c>
      <c r="I35" s="82">
        <f t="shared" si="1"/>
        <v>541941.56000000006</v>
      </c>
      <c r="J35" s="190"/>
      <c r="K35" s="82">
        <f t="shared" si="2"/>
        <v>484290.19059999997</v>
      </c>
      <c r="L35" s="82">
        <f t="shared" si="3"/>
        <v>77486.430496000001</v>
      </c>
      <c r="M35" s="82">
        <f>(L35+K35)*J31</f>
        <v>1123553.2421919999</v>
      </c>
      <c r="N35" s="24">
        <v>1</v>
      </c>
      <c r="O35" s="82">
        <f t="shared" si="5"/>
        <v>502015.21157595998</v>
      </c>
      <c r="P35" s="82">
        <f t="shared" si="6"/>
        <v>80322.433852153597</v>
      </c>
      <c r="Q35" s="82">
        <f t="shared" si="7"/>
        <v>582337.64542811364</v>
      </c>
    </row>
    <row r="36" spans="1:17" x14ac:dyDescent="0.25">
      <c r="A36" s="170"/>
      <c r="B36" s="170"/>
      <c r="C36" s="23" t="s">
        <v>125</v>
      </c>
      <c r="D36" s="25">
        <v>549.02</v>
      </c>
      <c r="E36" s="24"/>
      <c r="F36" s="190"/>
      <c r="G36" s="82">
        <v>447140</v>
      </c>
      <c r="H36" s="82">
        <f t="shared" si="0"/>
        <v>71542.400000000009</v>
      </c>
      <c r="I36" s="82">
        <f t="shared" si="1"/>
        <v>518682.4</v>
      </c>
      <c r="J36" s="190"/>
      <c r="K36" s="82">
        <f t="shared" si="2"/>
        <v>463505.32400000002</v>
      </c>
      <c r="L36" s="82">
        <f t="shared" si="3"/>
        <v>74160.851840000003</v>
      </c>
      <c r="M36" s="82">
        <f>(L36+K36)*J31</f>
        <v>1075332.3516800001</v>
      </c>
      <c r="N36" s="24">
        <v>1</v>
      </c>
      <c r="O36" s="82">
        <f t="shared" si="5"/>
        <v>480469.61885840003</v>
      </c>
      <c r="P36" s="82">
        <f t="shared" si="6"/>
        <v>76875.139017344001</v>
      </c>
      <c r="Q36" s="82">
        <f t="shared" si="7"/>
        <v>557344.75787574402</v>
      </c>
    </row>
    <row r="37" spans="1:17" x14ac:dyDescent="0.25">
      <c r="A37" s="170"/>
      <c r="B37" s="170"/>
      <c r="C37" s="23" t="s">
        <v>126</v>
      </c>
      <c r="D37" s="25">
        <v>549.02</v>
      </c>
      <c r="E37" s="24"/>
      <c r="F37" s="190"/>
      <c r="G37" s="82">
        <v>447140</v>
      </c>
      <c r="H37" s="82">
        <f t="shared" si="0"/>
        <v>71542.400000000009</v>
      </c>
      <c r="I37" s="82">
        <f t="shared" si="1"/>
        <v>518682.4</v>
      </c>
      <c r="J37" s="190"/>
      <c r="K37" s="82">
        <f t="shared" si="2"/>
        <v>463505.32400000002</v>
      </c>
      <c r="L37" s="82">
        <f t="shared" si="3"/>
        <v>74160.851840000003</v>
      </c>
      <c r="M37" s="82">
        <f>(L37+K37)*J31</f>
        <v>1075332.3516800001</v>
      </c>
      <c r="N37" s="24">
        <v>1</v>
      </c>
      <c r="O37" s="82">
        <f t="shared" si="5"/>
        <v>480469.61885840003</v>
      </c>
      <c r="P37" s="82">
        <f t="shared" si="6"/>
        <v>76875.139017344001</v>
      </c>
      <c r="Q37" s="82">
        <f t="shared" si="7"/>
        <v>557344.75787574402</v>
      </c>
    </row>
    <row r="38" spans="1:17" x14ac:dyDescent="0.25">
      <c r="A38" s="170"/>
      <c r="B38" s="170"/>
      <c r="C38" s="23" t="s">
        <v>127</v>
      </c>
      <c r="D38" s="25">
        <v>549.02</v>
      </c>
      <c r="E38" s="24"/>
      <c r="F38" s="190"/>
      <c r="G38" s="82">
        <v>447140</v>
      </c>
      <c r="H38" s="82">
        <f t="shared" si="0"/>
        <v>71542.400000000009</v>
      </c>
      <c r="I38" s="82">
        <f t="shared" si="1"/>
        <v>518682.4</v>
      </c>
      <c r="J38" s="190"/>
      <c r="K38" s="82">
        <f t="shared" si="2"/>
        <v>463505.32400000002</v>
      </c>
      <c r="L38" s="82">
        <f t="shared" si="3"/>
        <v>74160.851840000003</v>
      </c>
      <c r="M38" s="82">
        <f>(L38+K38)*J31</f>
        <v>1075332.3516800001</v>
      </c>
      <c r="N38" s="24">
        <v>1</v>
      </c>
      <c r="O38" s="82">
        <f t="shared" si="5"/>
        <v>480469.61885840003</v>
      </c>
      <c r="P38" s="82">
        <f t="shared" si="6"/>
        <v>76875.139017344001</v>
      </c>
      <c r="Q38" s="82">
        <f t="shared" si="7"/>
        <v>557344.75787574402</v>
      </c>
    </row>
    <row r="39" spans="1:17" x14ac:dyDescent="0.25">
      <c r="A39" s="170"/>
      <c r="B39" s="170"/>
      <c r="C39" s="23" t="s">
        <v>128</v>
      </c>
      <c r="D39" s="25">
        <v>549.02</v>
      </c>
      <c r="E39" s="24"/>
      <c r="F39" s="190"/>
      <c r="G39" s="82">
        <v>447140</v>
      </c>
      <c r="H39" s="82">
        <f t="shared" si="0"/>
        <v>71542.400000000009</v>
      </c>
      <c r="I39" s="82">
        <f t="shared" si="1"/>
        <v>518682.4</v>
      </c>
      <c r="J39" s="190"/>
      <c r="K39" s="82">
        <f t="shared" si="2"/>
        <v>463505.32400000002</v>
      </c>
      <c r="L39" s="82">
        <f t="shared" si="3"/>
        <v>74160.851840000003</v>
      </c>
      <c r="M39" s="82">
        <f>(L39+K39)*J31</f>
        <v>1075332.3516800001</v>
      </c>
      <c r="N39" s="24">
        <v>1</v>
      </c>
      <c r="O39" s="82">
        <f t="shared" si="5"/>
        <v>480469.61885840003</v>
      </c>
      <c r="P39" s="82">
        <f t="shared" si="6"/>
        <v>76875.139017344001</v>
      </c>
      <c r="Q39" s="82">
        <f t="shared" si="7"/>
        <v>557344.75787574402</v>
      </c>
    </row>
    <row r="40" spans="1:17" x14ac:dyDescent="0.25">
      <c r="A40" s="170"/>
      <c r="B40" s="170"/>
      <c r="C40" s="23" t="s">
        <v>129</v>
      </c>
      <c r="D40" s="25">
        <v>549.02</v>
      </c>
      <c r="E40" s="24"/>
      <c r="F40" s="190"/>
      <c r="G40" s="82">
        <v>447140</v>
      </c>
      <c r="H40" s="82">
        <f t="shared" si="0"/>
        <v>71542.400000000009</v>
      </c>
      <c r="I40" s="82">
        <f t="shared" si="1"/>
        <v>518682.4</v>
      </c>
      <c r="J40" s="190"/>
      <c r="K40" s="82">
        <f t="shared" si="2"/>
        <v>463505.32400000002</v>
      </c>
      <c r="L40" s="82">
        <f t="shared" si="3"/>
        <v>74160.851840000003</v>
      </c>
      <c r="M40" s="82">
        <f>(L40+K40)*J31</f>
        <v>1075332.3516800001</v>
      </c>
      <c r="N40" s="24">
        <v>1</v>
      </c>
      <c r="O40" s="82">
        <f t="shared" si="5"/>
        <v>480469.61885840003</v>
      </c>
      <c r="P40" s="82">
        <f t="shared" si="6"/>
        <v>76875.139017344001</v>
      </c>
      <c r="Q40" s="82">
        <f t="shared" si="7"/>
        <v>557344.75787574402</v>
      </c>
    </row>
    <row r="41" spans="1:17" x14ac:dyDescent="0.25">
      <c r="A41" s="170"/>
      <c r="B41" s="170"/>
      <c r="C41" s="23" t="s">
        <v>130</v>
      </c>
      <c r="D41" s="25">
        <v>549.02</v>
      </c>
      <c r="E41" s="24"/>
      <c r="F41" s="190"/>
      <c r="G41" s="82">
        <v>447140</v>
      </c>
      <c r="H41" s="82">
        <f t="shared" si="0"/>
        <v>71542.400000000009</v>
      </c>
      <c r="I41" s="82">
        <f t="shared" si="1"/>
        <v>518682.4</v>
      </c>
      <c r="J41" s="190"/>
      <c r="K41" s="82">
        <f t="shared" si="2"/>
        <v>463505.32400000002</v>
      </c>
      <c r="L41" s="82">
        <f t="shared" si="3"/>
        <v>74160.851840000003</v>
      </c>
      <c r="M41" s="82">
        <f>(L41+K41)*J31</f>
        <v>1075332.3516800001</v>
      </c>
      <c r="N41" s="24">
        <v>1</v>
      </c>
      <c r="O41" s="82">
        <f t="shared" si="5"/>
        <v>480469.61885840003</v>
      </c>
      <c r="P41" s="82">
        <f t="shared" si="6"/>
        <v>76875.139017344001</v>
      </c>
      <c r="Q41" s="82">
        <f t="shared" si="7"/>
        <v>557344.75787574402</v>
      </c>
    </row>
    <row r="42" spans="1:17" ht="24" x14ac:dyDescent="0.25">
      <c r="A42" s="170"/>
      <c r="B42" s="170"/>
      <c r="C42" s="23" t="s">
        <v>131</v>
      </c>
      <c r="D42" s="25">
        <v>292.3</v>
      </c>
      <c r="E42" s="24"/>
      <c r="F42" s="190"/>
      <c r="G42" s="82">
        <v>238059</v>
      </c>
      <c r="H42" s="82">
        <f t="shared" si="0"/>
        <v>38089.440000000002</v>
      </c>
      <c r="I42" s="82">
        <f t="shared" si="1"/>
        <v>276148.44</v>
      </c>
      <c r="J42" s="190"/>
      <c r="K42" s="82">
        <f t="shared" si="2"/>
        <v>246771.95939999999</v>
      </c>
      <c r="L42" s="82">
        <f t="shared" si="3"/>
        <v>39483.513504000002</v>
      </c>
      <c r="M42" s="82">
        <f>(L42+K42)*J31</f>
        <v>572510.94580799993</v>
      </c>
      <c r="N42" s="24">
        <v>1</v>
      </c>
      <c r="O42" s="82">
        <f t="shared" si="5"/>
        <v>255803.81311404001</v>
      </c>
      <c r="P42" s="82">
        <f t="shared" si="6"/>
        <v>40928.610098246405</v>
      </c>
      <c r="Q42" s="82">
        <f t="shared" si="7"/>
        <v>296732.42321228643</v>
      </c>
    </row>
    <row r="43" spans="1:17" x14ac:dyDescent="0.25">
      <c r="A43" s="170"/>
      <c r="B43" s="170"/>
      <c r="C43" s="23" t="s">
        <v>132</v>
      </c>
      <c r="D43" s="24"/>
      <c r="E43" s="25">
        <v>256.72000000000003</v>
      </c>
      <c r="F43" s="191"/>
      <c r="G43" s="82">
        <v>209081</v>
      </c>
      <c r="H43" s="82">
        <f t="shared" si="0"/>
        <v>33452.959999999999</v>
      </c>
      <c r="I43" s="82">
        <f t="shared" si="1"/>
        <v>242533.96</v>
      </c>
      <c r="J43" s="191"/>
      <c r="K43" s="82">
        <f t="shared" si="2"/>
        <v>216733.3646</v>
      </c>
      <c r="L43" s="82">
        <f t="shared" si="3"/>
        <v>34677.338336000001</v>
      </c>
      <c r="M43" s="82">
        <f>(L43+K43)*J31</f>
        <v>502821.40587200003</v>
      </c>
      <c r="N43" s="24">
        <v>1</v>
      </c>
      <c r="O43" s="82">
        <f t="shared" si="5"/>
        <v>224665.80574436</v>
      </c>
      <c r="P43" s="82">
        <f t="shared" si="6"/>
        <v>35946.528919097604</v>
      </c>
      <c r="Q43" s="82">
        <f t="shared" si="7"/>
        <v>260612.33466345759</v>
      </c>
    </row>
    <row r="44" spans="1:17" ht="72.75" customHeight="1" x14ac:dyDescent="0.25">
      <c r="A44" s="27"/>
      <c r="B44" s="28"/>
      <c r="C44" s="28"/>
      <c r="D44" s="29"/>
      <c r="E44" s="29"/>
      <c r="F44" s="30"/>
      <c r="G44" s="166" t="s">
        <v>244</v>
      </c>
      <c r="H44" s="166"/>
      <c r="I44" s="77">
        <f>SUM(I4:I43)</f>
        <v>35927243.199999996</v>
      </c>
      <c r="J44" s="31"/>
      <c r="K44" s="166" t="s">
        <v>137</v>
      </c>
      <c r="L44" s="166"/>
      <c r="M44" s="84">
        <f>SUM(M4:M43)</f>
        <v>74484360.602239966</v>
      </c>
      <c r="N44" s="31"/>
      <c r="O44" s="166" t="s">
        <v>145</v>
      </c>
      <c r="P44" s="166"/>
      <c r="Q44" s="84">
        <f>SUM(Q4:Q43)</f>
        <v>38605244.100140974</v>
      </c>
    </row>
    <row r="45" spans="1:17" ht="12.75" customHeight="1" x14ac:dyDescent="0.25">
      <c r="A45" s="17"/>
      <c r="B45" s="17"/>
      <c r="C45" s="17"/>
      <c r="D45" s="16"/>
      <c r="E45" s="16"/>
      <c r="F45" s="20"/>
      <c r="G45" s="79"/>
      <c r="I45" s="76"/>
      <c r="Q45" s="90"/>
    </row>
    <row r="46" spans="1:17" ht="30.75" customHeight="1" x14ac:dyDescent="0.25">
      <c r="A46" s="78"/>
      <c r="B46" s="18"/>
      <c r="C46" s="18"/>
      <c r="D46" s="19"/>
      <c r="E46" s="19"/>
      <c r="F46" s="18"/>
      <c r="G46" s="172" t="s">
        <v>192</v>
      </c>
      <c r="H46" s="173"/>
      <c r="I46" s="173"/>
      <c r="J46" s="174"/>
      <c r="K46" s="181">
        <f>(I44+M44+Q44)</f>
        <v>149016847.90238094</v>
      </c>
      <c r="L46" s="182"/>
      <c r="M46" s="182"/>
      <c r="N46" s="182"/>
      <c r="O46" s="182"/>
      <c r="P46" s="182"/>
      <c r="Q46" s="183"/>
    </row>
    <row r="47" spans="1:17" ht="6.75" customHeight="1" x14ac:dyDescent="0.25">
      <c r="A47" s="18"/>
      <c r="B47" s="18"/>
      <c r="C47" s="18"/>
      <c r="D47" s="19"/>
      <c r="E47" s="19"/>
      <c r="F47" s="18"/>
      <c r="G47" s="167"/>
      <c r="H47" s="167"/>
      <c r="I47" s="20"/>
    </row>
    <row r="48" spans="1:17" ht="15" customHeight="1" x14ac:dyDescent="0.25">
      <c r="A48" s="153" t="s">
        <v>178</v>
      </c>
      <c r="B48" s="153"/>
      <c r="C48" s="153"/>
      <c r="D48" s="153"/>
      <c r="E48" s="153"/>
      <c r="F48" s="153"/>
      <c r="G48" s="153"/>
      <c r="H48" s="153"/>
      <c r="I48" s="153"/>
      <c r="J48" s="153"/>
      <c r="K48" s="153"/>
      <c r="L48" s="153"/>
      <c r="M48" s="153"/>
      <c r="N48" s="153"/>
      <c r="O48" s="153"/>
      <c r="P48" s="153"/>
      <c r="Q48" s="153"/>
    </row>
    <row r="49" spans="1:17" x14ac:dyDescent="0.25">
      <c r="A49" s="153"/>
      <c r="B49" s="153"/>
      <c r="C49" s="153"/>
      <c r="D49" s="153"/>
      <c r="E49" s="153"/>
      <c r="F49" s="153"/>
      <c r="G49" s="153"/>
      <c r="H49" s="153"/>
      <c r="I49" s="153"/>
      <c r="J49" s="153"/>
      <c r="K49" s="153"/>
      <c r="L49" s="153"/>
      <c r="M49" s="153"/>
      <c r="N49" s="153"/>
      <c r="O49" s="153"/>
      <c r="P49" s="153"/>
      <c r="Q49" s="153"/>
    </row>
    <row r="50" spans="1:17" ht="5.25" customHeight="1" x14ac:dyDescent="0.25">
      <c r="A50" s="1"/>
      <c r="B50" s="1"/>
      <c r="C50" s="1"/>
      <c r="D50" s="1"/>
      <c r="E50" s="1"/>
      <c r="F50" s="1"/>
      <c r="G50" s="1"/>
      <c r="H50" s="1"/>
    </row>
    <row r="51" spans="1:17" ht="54" x14ac:dyDescent="0.25">
      <c r="A51" s="48" t="s">
        <v>179</v>
      </c>
      <c r="B51" s="154" t="s">
        <v>180</v>
      </c>
      <c r="C51" s="154"/>
      <c r="D51" s="154"/>
      <c r="E51" s="154"/>
      <c r="F51" s="154"/>
      <c r="G51" s="154"/>
      <c r="H51" s="49" t="s">
        <v>181</v>
      </c>
    </row>
    <row r="52" spans="1:17" ht="27" x14ac:dyDescent="0.25">
      <c r="A52" s="73" t="s">
        <v>239</v>
      </c>
      <c r="B52" s="184" t="s">
        <v>240</v>
      </c>
      <c r="C52" s="185"/>
      <c r="D52" s="185"/>
      <c r="E52" s="185"/>
      <c r="F52" s="185"/>
      <c r="G52" s="185"/>
      <c r="H52" s="74" t="s">
        <v>243</v>
      </c>
    </row>
    <row r="53" spans="1:17" ht="27" x14ac:dyDescent="0.25">
      <c r="A53" s="87" t="s">
        <v>241</v>
      </c>
      <c r="B53" s="164" t="s">
        <v>242</v>
      </c>
      <c r="C53" s="176"/>
      <c r="D53" s="176"/>
      <c r="E53" s="176"/>
      <c r="F53" s="176"/>
      <c r="G53" s="176"/>
      <c r="H53" s="88" t="s">
        <v>50</v>
      </c>
      <c r="M53" s="76"/>
    </row>
    <row r="54" spans="1:17" ht="31.5" customHeight="1" x14ac:dyDescent="0.25">
      <c r="A54" s="158" t="s">
        <v>183</v>
      </c>
      <c r="B54" s="158"/>
      <c r="C54" s="158"/>
      <c r="D54" s="158"/>
      <c r="E54" s="158"/>
      <c r="F54" s="158"/>
      <c r="G54" s="158"/>
      <c r="H54" s="158"/>
      <c r="I54" s="158"/>
      <c r="J54" s="158"/>
      <c r="K54" s="158"/>
      <c r="L54" s="158"/>
      <c r="M54" s="158"/>
      <c r="N54" s="158"/>
      <c r="O54" s="158"/>
      <c r="P54" s="158"/>
      <c r="Q54" s="158"/>
    </row>
    <row r="56" spans="1:17" x14ac:dyDescent="0.25">
      <c r="A56" s="175" t="s">
        <v>246</v>
      </c>
      <c r="B56" s="175"/>
      <c r="C56" s="175"/>
      <c r="D56" s="175"/>
      <c r="E56" s="175"/>
      <c r="F56" s="175"/>
      <c r="G56" s="175"/>
      <c r="H56" s="175"/>
      <c r="I56" s="175"/>
      <c r="J56" s="175"/>
      <c r="K56" s="175"/>
      <c r="L56" s="175"/>
      <c r="M56" s="175"/>
      <c r="N56" s="175"/>
      <c r="O56" s="175"/>
      <c r="P56" s="175"/>
      <c r="Q56" s="175"/>
    </row>
    <row r="57" spans="1:17" ht="26.25" customHeight="1" x14ac:dyDescent="0.25">
      <c r="A57" s="178" t="s">
        <v>249</v>
      </c>
      <c r="B57" s="179"/>
      <c r="C57" s="179"/>
      <c r="D57" s="179"/>
      <c r="E57" s="179"/>
      <c r="F57" s="179"/>
      <c r="G57" s="179"/>
      <c r="H57" s="179"/>
      <c r="I57" s="179"/>
      <c r="J57" s="179"/>
      <c r="K57" s="179"/>
      <c r="L57" s="179"/>
      <c r="M57" s="179"/>
      <c r="N57" s="179"/>
      <c r="O57" s="179"/>
      <c r="P57" s="179"/>
      <c r="Q57" s="180"/>
    </row>
    <row r="58" spans="1:17" ht="55.5" customHeight="1" x14ac:dyDescent="0.25">
      <c r="A58" s="127" t="s">
        <v>251</v>
      </c>
      <c r="B58" s="127"/>
      <c r="C58" s="127"/>
      <c r="D58" s="127"/>
      <c r="E58" s="127"/>
      <c r="F58" s="127"/>
      <c r="G58" s="127"/>
      <c r="H58" s="127"/>
      <c r="I58" s="127"/>
      <c r="J58" s="127"/>
      <c r="K58" s="127"/>
      <c r="L58" s="127"/>
      <c r="M58" s="127"/>
      <c r="N58" s="127"/>
      <c r="O58" s="127"/>
      <c r="P58" s="127"/>
      <c r="Q58" s="127"/>
    </row>
    <row r="59" spans="1:17" x14ac:dyDescent="0.25">
      <c r="A59" s="219" t="s">
        <v>273</v>
      </c>
      <c r="B59" s="219"/>
      <c r="C59" s="219"/>
      <c r="D59" s="219"/>
      <c r="E59" s="219"/>
      <c r="F59" s="219"/>
      <c r="G59" s="219"/>
      <c r="H59" s="219"/>
      <c r="I59" s="219"/>
      <c r="J59" s="219"/>
      <c r="K59" s="219"/>
      <c r="L59" s="219"/>
      <c r="M59" s="219"/>
      <c r="N59" s="219"/>
      <c r="O59" s="219"/>
      <c r="P59" s="219"/>
      <c r="Q59" s="219"/>
    </row>
  </sheetData>
  <mergeCells count="24">
    <mergeCell ref="F1:I1"/>
    <mergeCell ref="G46:J46"/>
    <mergeCell ref="A56:Q56"/>
    <mergeCell ref="B53:G53"/>
    <mergeCell ref="A58:Q58"/>
    <mergeCell ref="A57:Q57"/>
    <mergeCell ref="A54:Q54"/>
    <mergeCell ref="J1:M1"/>
    <mergeCell ref="N1:Q1"/>
    <mergeCell ref="K46:Q46"/>
    <mergeCell ref="B51:G51"/>
    <mergeCell ref="B52:G52"/>
    <mergeCell ref="A48:Q49"/>
    <mergeCell ref="A1:E1"/>
    <mergeCell ref="J31:J43"/>
    <mergeCell ref="F31:F43"/>
    <mergeCell ref="O44:P44"/>
    <mergeCell ref="G47:H47"/>
    <mergeCell ref="A59:Q59"/>
    <mergeCell ref="A2:C2"/>
    <mergeCell ref="A31:A43"/>
    <mergeCell ref="B31:B43"/>
    <mergeCell ref="G44:H44"/>
    <mergeCell ref="K44:L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opLeftCell="A31" workbookViewId="0">
      <selection activeCell="C40" sqref="C40"/>
    </sheetView>
  </sheetViews>
  <sheetFormatPr baseColWidth="10" defaultRowHeight="16.5" x14ac:dyDescent="0.3"/>
  <cols>
    <col min="1" max="1" width="31.5703125" style="33" customWidth="1"/>
    <col min="2" max="22" width="11.42578125" style="33"/>
    <col min="23" max="23" width="11.42578125" style="122"/>
    <col min="24" max="28" width="11.42578125" style="33"/>
    <col min="29" max="29" width="11.42578125" style="122"/>
    <col min="30" max="16384" width="11.42578125" style="33"/>
  </cols>
  <sheetData>
    <row r="1" spans="1:31" ht="48" customHeight="1" x14ac:dyDescent="0.3">
      <c r="A1" s="197" t="s">
        <v>29</v>
      </c>
      <c r="B1" s="198" t="s">
        <v>146</v>
      </c>
      <c r="C1" s="198"/>
      <c r="D1" s="198"/>
      <c r="E1" s="198"/>
      <c r="F1" s="198" t="s">
        <v>147</v>
      </c>
      <c r="G1" s="198"/>
      <c r="H1" s="198"/>
      <c r="I1" s="198"/>
      <c r="J1" s="198" t="s">
        <v>148</v>
      </c>
      <c r="K1" s="198"/>
      <c r="L1" s="198"/>
      <c r="M1" s="198"/>
      <c r="N1" s="198" t="s">
        <v>149</v>
      </c>
      <c r="O1" s="198"/>
      <c r="P1" s="198"/>
      <c r="Q1" s="198"/>
      <c r="R1" s="198" t="s">
        <v>150</v>
      </c>
      <c r="S1" s="198"/>
      <c r="T1" s="198"/>
      <c r="U1" s="198"/>
      <c r="V1" s="198" t="s">
        <v>270</v>
      </c>
      <c r="W1" s="198"/>
      <c r="X1" s="198"/>
      <c r="Y1" s="198"/>
      <c r="Z1" s="194" t="s">
        <v>271</v>
      </c>
      <c r="AA1" s="195"/>
      <c r="AB1" s="195"/>
      <c r="AC1" s="196"/>
    </row>
    <row r="2" spans="1:31" ht="45" x14ac:dyDescent="0.3">
      <c r="A2" s="197"/>
      <c r="B2" s="36" t="s">
        <v>8</v>
      </c>
      <c r="C2" s="37" t="s">
        <v>30</v>
      </c>
      <c r="D2" s="37" t="s">
        <v>194</v>
      </c>
      <c r="E2" s="37" t="s">
        <v>177</v>
      </c>
      <c r="F2" s="36" t="s">
        <v>8</v>
      </c>
      <c r="G2" s="37" t="s">
        <v>30</v>
      </c>
      <c r="H2" s="37" t="s">
        <v>194</v>
      </c>
      <c r="I2" s="37" t="s">
        <v>198</v>
      </c>
      <c r="J2" s="36" t="s">
        <v>8</v>
      </c>
      <c r="K2" s="37" t="s">
        <v>30</v>
      </c>
      <c r="L2" s="37" t="s">
        <v>194</v>
      </c>
      <c r="M2" s="37" t="s">
        <v>198</v>
      </c>
      <c r="N2" s="36" t="s">
        <v>8</v>
      </c>
      <c r="O2" s="37" t="s">
        <v>30</v>
      </c>
      <c r="P2" s="37" t="s">
        <v>194</v>
      </c>
      <c r="Q2" s="37" t="s">
        <v>198</v>
      </c>
      <c r="R2" s="36" t="s">
        <v>8</v>
      </c>
      <c r="S2" s="37" t="s">
        <v>30</v>
      </c>
      <c r="T2" s="37" t="s">
        <v>194</v>
      </c>
      <c r="U2" s="37" t="s">
        <v>198</v>
      </c>
      <c r="V2" s="36" t="s">
        <v>8</v>
      </c>
      <c r="W2" s="118" t="s">
        <v>30</v>
      </c>
      <c r="X2" s="37" t="s">
        <v>194</v>
      </c>
      <c r="Y2" s="37" t="s">
        <v>198</v>
      </c>
      <c r="Z2" s="36" t="s">
        <v>8</v>
      </c>
      <c r="AA2" s="37" t="s">
        <v>30</v>
      </c>
      <c r="AB2" s="37" t="s">
        <v>194</v>
      </c>
      <c r="AC2" s="118" t="s">
        <v>198</v>
      </c>
    </row>
    <row r="3" spans="1:31" x14ac:dyDescent="0.3">
      <c r="A3" s="38" t="s">
        <v>151</v>
      </c>
      <c r="B3" s="39">
        <v>1</v>
      </c>
      <c r="C3" s="97">
        <v>17155</v>
      </c>
      <c r="D3" s="97">
        <f>(C3*16%)</f>
        <v>2744.8</v>
      </c>
      <c r="E3" s="97">
        <f>((D3+C3)*B3)</f>
        <v>19899.8</v>
      </c>
      <c r="F3" s="40" t="s">
        <v>152</v>
      </c>
      <c r="G3" s="98"/>
      <c r="H3" s="98"/>
      <c r="I3" s="98"/>
      <c r="J3" s="40" t="s">
        <v>152</v>
      </c>
      <c r="K3" s="98"/>
      <c r="L3" s="98"/>
      <c r="M3" s="98"/>
      <c r="N3" s="40" t="s">
        <v>152</v>
      </c>
      <c r="O3" s="98"/>
      <c r="P3" s="98"/>
      <c r="Q3" s="98"/>
      <c r="R3" s="40" t="s">
        <v>152</v>
      </c>
      <c r="S3" s="98"/>
      <c r="T3" s="98"/>
      <c r="U3" s="98"/>
      <c r="V3" s="40" t="s">
        <v>152</v>
      </c>
      <c r="W3" s="119"/>
      <c r="X3" s="98"/>
      <c r="Y3" s="98"/>
      <c r="Z3" s="40" t="s">
        <v>152</v>
      </c>
      <c r="AA3" s="114"/>
      <c r="AB3" s="114"/>
      <c r="AC3" s="123"/>
    </row>
    <row r="4" spans="1:31" ht="81" x14ac:dyDescent="0.3">
      <c r="A4" s="43" t="s">
        <v>153</v>
      </c>
      <c r="B4" s="40">
        <v>2</v>
      </c>
      <c r="C4" s="98">
        <v>14483</v>
      </c>
      <c r="D4" s="97">
        <f t="shared" ref="D4:D20" si="0">(C4*16%)</f>
        <v>2317.2800000000002</v>
      </c>
      <c r="E4" s="97">
        <f t="shared" ref="E4:E20" si="1">((D4+C4)*B4)</f>
        <v>33600.559999999998</v>
      </c>
      <c r="F4" s="40" t="s">
        <v>152</v>
      </c>
      <c r="G4" s="98"/>
      <c r="H4" s="98"/>
      <c r="I4" s="98"/>
      <c r="J4" s="40" t="s">
        <v>152</v>
      </c>
      <c r="K4" s="98"/>
      <c r="L4" s="98"/>
      <c r="M4" s="98"/>
      <c r="N4" s="40" t="s">
        <v>152</v>
      </c>
      <c r="O4" s="98"/>
      <c r="P4" s="98"/>
      <c r="Q4" s="98"/>
      <c r="R4" s="40" t="s">
        <v>152</v>
      </c>
      <c r="S4" s="98"/>
      <c r="T4" s="98"/>
      <c r="U4" s="98"/>
      <c r="V4" s="40" t="s">
        <v>152</v>
      </c>
      <c r="W4" s="119"/>
      <c r="X4" s="98"/>
      <c r="Y4" s="98"/>
      <c r="Z4" s="40" t="s">
        <v>152</v>
      </c>
      <c r="AA4" s="114"/>
      <c r="AB4" s="114"/>
      <c r="AC4" s="123"/>
    </row>
    <row r="5" spans="1:31" ht="67.5" x14ac:dyDescent="0.3">
      <c r="A5" s="38" t="s">
        <v>154</v>
      </c>
      <c r="B5" s="40" t="s">
        <v>155</v>
      </c>
      <c r="C5" s="98">
        <v>45000</v>
      </c>
      <c r="D5" s="97">
        <f t="shared" si="0"/>
        <v>7200</v>
      </c>
      <c r="E5" s="97">
        <f>(D5+C5)</f>
        <v>52200</v>
      </c>
      <c r="F5" s="40" t="s">
        <v>152</v>
      </c>
      <c r="G5" s="98"/>
      <c r="H5" s="98"/>
      <c r="I5" s="98"/>
      <c r="J5" s="40" t="s">
        <v>152</v>
      </c>
      <c r="K5" s="98"/>
      <c r="L5" s="98"/>
      <c r="M5" s="98"/>
      <c r="N5" s="40" t="s">
        <v>152</v>
      </c>
      <c r="O5" s="98"/>
      <c r="P5" s="98"/>
      <c r="Q5" s="98"/>
      <c r="R5" s="40" t="s">
        <v>152</v>
      </c>
      <c r="S5" s="98"/>
      <c r="T5" s="98"/>
      <c r="U5" s="98"/>
      <c r="V5" s="40" t="s">
        <v>152</v>
      </c>
      <c r="W5" s="119"/>
      <c r="X5" s="98"/>
      <c r="Y5" s="98"/>
      <c r="Z5" s="40" t="s">
        <v>152</v>
      </c>
      <c r="AA5" s="114"/>
      <c r="AB5" s="114"/>
      <c r="AC5" s="123"/>
    </row>
    <row r="6" spans="1:31" ht="40.5" x14ac:dyDescent="0.3">
      <c r="A6" s="38" t="s">
        <v>156</v>
      </c>
      <c r="B6" s="39">
        <v>6</v>
      </c>
      <c r="C6" s="97">
        <v>5862</v>
      </c>
      <c r="D6" s="97">
        <f t="shared" si="0"/>
        <v>937.92000000000007</v>
      </c>
      <c r="E6" s="97">
        <f t="shared" si="1"/>
        <v>40799.520000000004</v>
      </c>
      <c r="F6" s="40">
        <v>1</v>
      </c>
      <c r="G6" s="98">
        <v>5862</v>
      </c>
      <c r="H6" s="98">
        <f>(G6*16%)</f>
        <v>937.92000000000007</v>
      </c>
      <c r="I6" s="98">
        <f>((H6+G6)*F6)</f>
        <v>6799.92</v>
      </c>
      <c r="J6" s="40">
        <v>1</v>
      </c>
      <c r="K6" s="98">
        <v>5862</v>
      </c>
      <c r="L6" s="98">
        <f>(K6*16%)</f>
        <v>937.92000000000007</v>
      </c>
      <c r="M6" s="98">
        <f>(L6+K6)</f>
        <v>6799.92</v>
      </c>
      <c r="N6" s="40">
        <v>1</v>
      </c>
      <c r="O6" s="98">
        <v>5862</v>
      </c>
      <c r="P6" s="98">
        <f>(O6*16%)</f>
        <v>937.92000000000007</v>
      </c>
      <c r="Q6" s="98">
        <f>(P6+O6)*N6</f>
        <v>6799.92</v>
      </c>
      <c r="R6" s="40">
        <v>1</v>
      </c>
      <c r="S6" s="98">
        <v>5862</v>
      </c>
      <c r="T6" s="98">
        <f>(S6*16%)</f>
        <v>937.92000000000007</v>
      </c>
      <c r="U6" s="98">
        <f>(T6+S6)*R6</f>
        <v>6799.92</v>
      </c>
      <c r="V6" s="40">
        <v>1</v>
      </c>
      <c r="W6" s="119">
        <v>5862</v>
      </c>
      <c r="X6" s="98"/>
      <c r="Y6" s="98">
        <f>(X6+W6)*V6</f>
        <v>5862</v>
      </c>
      <c r="Z6" s="40" t="s">
        <v>157</v>
      </c>
      <c r="AA6" s="114">
        <v>5862</v>
      </c>
      <c r="AB6" s="114">
        <f>(AA6*16%)</f>
        <v>937.92000000000007</v>
      </c>
      <c r="AC6" s="123">
        <f>((AB6+AA6)*1)*23</f>
        <v>156398.16</v>
      </c>
      <c r="AE6" s="115"/>
    </row>
    <row r="7" spans="1:31" x14ac:dyDescent="0.3">
      <c r="A7" s="38" t="s">
        <v>158</v>
      </c>
      <c r="B7" s="39">
        <v>15</v>
      </c>
      <c r="C7" s="97">
        <v>345</v>
      </c>
      <c r="D7" s="97">
        <f t="shared" si="0"/>
        <v>55.2</v>
      </c>
      <c r="E7" s="97">
        <f t="shared" si="1"/>
        <v>6003</v>
      </c>
      <c r="F7" s="40">
        <v>2</v>
      </c>
      <c r="G7" s="98">
        <v>345</v>
      </c>
      <c r="H7" s="98">
        <f t="shared" ref="H7:H19" si="2">(G7*16%)</f>
        <v>55.2</v>
      </c>
      <c r="I7" s="98">
        <f t="shared" ref="I7:I19" si="3">((H7+G7)*F7)</f>
        <v>800.4</v>
      </c>
      <c r="J7" s="40">
        <v>2</v>
      </c>
      <c r="K7" s="98">
        <v>345</v>
      </c>
      <c r="L7" s="98">
        <f t="shared" ref="L7:L19" si="4">(K7*16%)</f>
        <v>55.2</v>
      </c>
      <c r="M7" s="98">
        <f>(L7+K7)*2</f>
        <v>800.4</v>
      </c>
      <c r="N7" s="40">
        <v>2</v>
      </c>
      <c r="O7" s="98">
        <v>345</v>
      </c>
      <c r="P7" s="98">
        <f>(O7*16%)</f>
        <v>55.2</v>
      </c>
      <c r="Q7" s="98">
        <f>(P7+O7)*N7</f>
        <v>800.4</v>
      </c>
      <c r="R7" s="40">
        <v>2</v>
      </c>
      <c r="S7" s="98">
        <v>345</v>
      </c>
      <c r="T7" s="98">
        <f>(S7*16%)</f>
        <v>55.2</v>
      </c>
      <c r="U7" s="98">
        <f>(T7+S7)*R7</f>
        <v>800.4</v>
      </c>
      <c r="V7" s="40">
        <v>2</v>
      </c>
      <c r="W7" s="119">
        <v>345</v>
      </c>
      <c r="X7" s="98"/>
      <c r="Y7" s="98">
        <f>(X7+W7)*V7</f>
        <v>690</v>
      </c>
      <c r="Z7" s="40" t="s">
        <v>159</v>
      </c>
      <c r="AA7" s="114">
        <v>345</v>
      </c>
      <c r="AB7" s="114">
        <f>(AA7*16%)</f>
        <v>55.2</v>
      </c>
      <c r="AC7" s="123">
        <f>((AB7+AA7)*1)*22</f>
        <v>8804.4</v>
      </c>
      <c r="AE7" s="115"/>
    </row>
    <row r="8" spans="1:31" x14ac:dyDescent="0.3">
      <c r="A8" s="38" t="s">
        <v>160</v>
      </c>
      <c r="B8" s="39">
        <v>60</v>
      </c>
      <c r="C8" s="97">
        <v>1164</v>
      </c>
      <c r="D8" s="97">
        <f t="shared" si="0"/>
        <v>186.24</v>
      </c>
      <c r="E8" s="97">
        <f t="shared" si="1"/>
        <v>81014.399999999994</v>
      </c>
      <c r="F8" s="40" t="s">
        <v>152</v>
      </c>
      <c r="G8" s="98"/>
      <c r="H8" s="98"/>
      <c r="I8" s="98"/>
      <c r="J8" s="40" t="s">
        <v>152</v>
      </c>
      <c r="K8" s="98"/>
      <c r="L8" s="98"/>
      <c r="M8" s="98"/>
      <c r="N8" s="40" t="s">
        <v>152</v>
      </c>
      <c r="O8" s="98"/>
      <c r="P8" s="98"/>
      <c r="Q8" s="98"/>
      <c r="R8" s="40" t="s">
        <v>152</v>
      </c>
      <c r="S8" s="98"/>
      <c r="T8" s="98"/>
      <c r="U8" s="98"/>
      <c r="V8" s="40" t="s">
        <v>152</v>
      </c>
      <c r="W8" s="119"/>
      <c r="X8" s="98"/>
      <c r="Y8" s="98"/>
      <c r="Z8" s="40" t="s">
        <v>152</v>
      </c>
      <c r="AA8" s="114"/>
      <c r="AB8" s="114"/>
      <c r="AC8" s="123"/>
    </row>
    <row r="9" spans="1:31" x14ac:dyDescent="0.3">
      <c r="A9" s="38" t="s">
        <v>161</v>
      </c>
      <c r="B9" s="39">
        <v>9</v>
      </c>
      <c r="C9" s="97">
        <v>5603</v>
      </c>
      <c r="D9" s="97">
        <f t="shared" si="0"/>
        <v>896.48</v>
      </c>
      <c r="E9" s="97">
        <f t="shared" si="1"/>
        <v>58495.319999999992</v>
      </c>
      <c r="F9" s="40">
        <v>1</v>
      </c>
      <c r="G9" s="98">
        <v>5603</v>
      </c>
      <c r="H9" s="98">
        <f t="shared" si="2"/>
        <v>896.48</v>
      </c>
      <c r="I9" s="98">
        <f t="shared" si="3"/>
        <v>6499.48</v>
      </c>
      <c r="J9" s="40">
        <v>1</v>
      </c>
      <c r="K9" s="98">
        <v>5603</v>
      </c>
      <c r="L9" s="98">
        <f t="shared" si="4"/>
        <v>896.48</v>
      </c>
      <c r="M9" s="98">
        <f t="shared" ref="M9:M19" si="5">(L9+K9)</f>
        <v>6499.48</v>
      </c>
      <c r="N9" s="40">
        <v>1</v>
      </c>
      <c r="O9" s="98">
        <v>5603</v>
      </c>
      <c r="P9" s="98">
        <f>(O9*16%)</f>
        <v>896.48</v>
      </c>
      <c r="Q9" s="98">
        <f>(P9+O9)*N9</f>
        <v>6499.48</v>
      </c>
      <c r="R9" s="40">
        <v>1</v>
      </c>
      <c r="S9" s="98">
        <v>5603</v>
      </c>
      <c r="T9" s="98">
        <f>(S9*16%)</f>
        <v>896.48</v>
      </c>
      <c r="U9" s="98">
        <f>(T9+S9)*R9</f>
        <v>6499.48</v>
      </c>
      <c r="V9" s="40" t="s">
        <v>162</v>
      </c>
      <c r="W9" s="119"/>
      <c r="X9" s="98"/>
      <c r="Y9" s="98"/>
      <c r="Z9" s="40" t="s">
        <v>162</v>
      </c>
      <c r="AA9" s="114"/>
      <c r="AB9" s="114"/>
      <c r="AC9" s="123"/>
    </row>
    <row r="10" spans="1:31" x14ac:dyDescent="0.3">
      <c r="A10" s="38" t="s">
        <v>163</v>
      </c>
      <c r="B10" s="39">
        <v>8</v>
      </c>
      <c r="C10" s="97">
        <v>5046</v>
      </c>
      <c r="D10" s="97">
        <f t="shared" si="0"/>
        <v>807.36</v>
      </c>
      <c r="E10" s="97">
        <f t="shared" si="1"/>
        <v>46826.879999999997</v>
      </c>
      <c r="F10" s="40">
        <v>1</v>
      </c>
      <c r="G10" s="98">
        <v>5046</v>
      </c>
      <c r="H10" s="98">
        <f t="shared" si="2"/>
        <v>807.36</v>
      </c>
      <c r="I10" s="98">
        <f t="shared" si="3"/>
        <v>5853.36</v>
      </c>
      <c r="J10" s="40">
        <v>1</v>
      </c>
      <c r="K10" s="98">
        <v>5046</v>
      </c>
      <c r="L10" s="98">
        <f t="shared" si="4"/>
        <v>807.36</v>
      </c>
      <c r="M10" s="98">
        <f t="shared" si="5"/>
        <v>5853.36</v>
      </c>
      <c r="N10" s="40" t="s">
        <v>152</v>
      </c>
      <c r="O10" s="98"/>
      <c r="P10" s="98"/>
      <c r="Q10" s="98"/>
      <c r="R10" s="40">
        <v>1</v>
      </c>
      <c r="S10" s="98">
        <v>5046</v>
      </c>
      <c r="T10" s="98">
        <f>(S10*16%)</f>
        <v>807.36</v>
      </c>
      <c r="U10" s="98">
        <f>(T10+S10)*R10</f>
        <v>5853.36</v>
      </c>
      <c r="V10" s="40" t="s">
        <v>162</v>
      </c>
      <c r="W10" s="119"/>
      <c r="X10" s="98"/>
      <c r="Y10" s="98"/>
      <c r="Z10" s="40" t="s">
        <v>162</v>
      </c>
      <c r="AA10" s="114"/>
      <c r="AB10" s="114"/>
      <c r="AC10" s="123"/>
    </row>
    <row r="11" spans="1:31" x14ac:dyDescent="0.3">
      <c r="A11" s="38" t="s">
        <v>164</v>
      </c>
      <c r="B11" s="39">
        <v>8</v>
      </c>
      <c r="C11" s="97">
        <v>4304</v>
      </c>
      <c r="D11" s="97">
        <f t="shared" si="0"/>
        <v>688.64</v>
      </c>
      <c r="E11" s="97">
        <f t="shared" si="1"/>
        <v>39941.120000000003</v>
      </c>
      <c r="F11" s="40" t="s">
        <v>152</v>
      </c>
      <c r="G11" s="98"/>
      <c r="H11" s="98"/>
      <c r="I11" s="98"/>
      <c r="J11" s="40" t="s">
        <v>152</v>
      </c>
      <c r="K11" s="98"/>
      <c r="L11" s="98"/>
      <c r="M11" s="98"/>
      <c r="N11" s="40" t="s">
        <v>152</v>
      </c>
      <c r="O11" s="98"/>
      <c r="P11" s="98"/>
      <c r="Q11" s="98"/>
      <c r="R11" s="40" t="s">
        <v>152</v>
      </c>
      <c r="S11" s="98"/>
      <c r="T11" s="98"/>
      <c r="U11" s="98"/>
      <c r="V11" s="40" t="s">
        <v>152</v>
      </c>
      <c r="W11" s="119"/>
      <c r="X11" s="98"/>
      <c r="Y11" s="98"/>
      <c r="Z11" s="40" t="s">
        <v>152</v>
      </c>
      <c r="AA11" s="114"/>
      <c r="AB11" s="114"/>
      <c r="AC11" s="123"/>
    </row>
    <row r="12" spans="1:31" x14ac:dyDescent="0.3">
      <c r="A12" s="38" t="s">
        <v>165</v>
      </c>
      <c r="B12" s="39">
        <v>1</v>
      </c>
      <c r="C12" s="97">
        <v>3362</v>
      </c>
      <c r="D12" s="97">
        <f t="shared" si="0"/>
        <v>537.91999999999996</v>
      </c>
      <c r="E12" s="97">
        <f t="shared" si="1"/>
        <v>3899.92</v>
      </c>
      <c r="F12" s="40" t="s">
        <v>152</v>
      </c>
      <c r="G12" s="98"/>
      <c r="H12" s="98"/>
      <c r="I12" s="98"/>
      <c r="J12" s="40" t="s">
        <v>152</v>
      </c>
      <c r="K12" s="98"/>
      <c r="L12" s="98"/>
      <c r="M12" s="98"/>
      <c r="N12" s="40" t="s">
        <v>152</v>
      </c>
      <c r="O12" s="98"/>
      <c r="P12" s="98"/>
      <c r="Q12" s="98"/>
      <c r="R12" s="40" t="s">
        <v>152</v>
      </c>
      <c r="S12" s="98"/>
      <c r="T12" s="98"/>
      <c r="U12" s="98"/>
      <c r="V12" s="40" t="s">
        <v>152</v>
      </c>
      <c r="W12" s="119"/>
      <c r="X12" s="98"/>
      <c r="Y12" s="98"/>
      <c r="Z12" s="40" t="s">
        <v>152</v>
      </c>
      <c r="AA12" s="114"/>
      <c r="AB12" s="114"/>
      <c r="AC12" s="123"/>
    </row>
    <row r="13" spans="1:31" x14ac:dyDescent="0.3">
      <c r="A13" s="38" t="s">
        <v>166</v>
      </c>
      <c r="B13" s="39">
        <v>1</v>
      </c>
      <c r="C13" s="97">
        <v>1431</v>
      </c>
      <c r="D13" s="97">
        <f t="shared" si="0"/>
        <v>228.96</v>
      </c>
      <c r="E13" s="97">
        <f t="shared" si="1"/>
        <v>1659.96</v>
      </c>
      <c r="F13" s="40" t="s">
        <v>152</v>
      </c>
      <c r="G13" s="98"/>
      <c r="H13" s="98"/>
      <c r="I13" s="98"/>
      <c r="J13" s="40" t="s">
        <v>152</v>
      </c>
      <c r="K13" s="98"/>
      <c r="L13" s="98"/>
      <c r="M13" s="98"/>
      <c r="N13" s="40" t="s">
        <v>152</v>
      </c>
      <c r="O13" s="98"/>
      <c r="P13" s="98"/>
      <c r="Q13" s="98"/>
      <c r="R13" s="40" t="s">
        <v>152</v>
      </c>
      <c r="S13" s="98"/>
      <c r="T13" s="98"/>
      <c r="U13" s="98"/>
      <c r="V13" s="40" t="s">
        <v>152</v>
      </c>
      <c r="W13" s="119"/>
      <c r="X13" s="98"/>
      <c r="Y13" s="98"/>
      <c r="Z13" s="40" t="s">
        <v>152</v>
      </c>
      <c r="AA13" s="114"/>
      <c r="AB13" s="114"/>
      <c r="AC13" s="123"/>
    </row>
    <row r="14" spans="1:31" ht="27" x14ac:dyDescent="0.3">
      <c r="A14" s="38" t="s">
        <v>167</v>
      </c>
      <c r="B14" s="39">
        <v>2</v>
      </c>
      <c r="C14" s="97">
        <v>4612</v>
      </c>
      <c r="D14" s="97">
        <f t="shared" si="0"/>
        <v>737.92</v>
      </c>
      <c r="E14" s="97">
        <f t="shared" si="1"/>
        <v>10699.84</v>
      </c>
      <c r="F14" s="40" t="s">
        <v>152</v>
      </c>
      <c r="G14" s="98"/>
      <c r="H14" s="98"/>
      <c r="I14" s="98"/>
      <c r="J14" s="40" t="s">
        <v>152</v>
      </c>
      <c r="K14" s="98"/>
      <c r="L14" s="98"/>
      <c r="M14" s="98"/>
      <c r="N14" s="40" t="s">
        <v>152</v>
      </c>
      <c r="O14" s="98"/>
      <c r="P14" s="98"/>
      <c r="Q14" s="98"/>
      <c r="R14" s="40" t="s">
        <v>152</v>
      </c>
      <c r="S14" s="98"/>
      <c r="T14" s="98"/>
      <c r="U14" s="98"/>
      <c r="V14" s="40" t="s">
        <v>152</v>
      </c>
      <c r="W14" s="119"/>
      <c r="X14" s="98"/>
      <c r="Y14" s="98"/>
      <c r="Z14" s="40" t="s">
        <v>152</v>
      </c>
      <c r="AA14" s="114"/>
      <c r="AB14" s="114"/>
      <c r="AC14" s="123"/>
    </row>
    <row r="15" spans="1:31" ht="54" x14ac:dyDescent="0.3">
      <c r="A15" s="38" t="s">
        <v>168</v>
      </c>
      <c r="B15" s="39">
        <v>1</v>
      </c>
      <c r="C15" s="97">
        <v>44828</v>
      </c>
      <c r="D15" s="97">
        <f t="shared" si="0"/>
        <v>7172.4800000000005</v>
      </c>
      <c r="E15" s="97">
        <f t="shared" si="1"/>
        <v>52000.480000000003</v>
      </c>
      <c r="F15" s="40" t="s">
        <v>152</v>
      </c>
      <c r="G15" s="98"/>
      <c r="H15" s="98"/>
      <c r="I15" s="98"/>
      <c r="J15" s="40" t="s">
        <v>152</v>
      </c>
      <c r="K15" s="98"/>
      <c r="L15" s="98"/>
      <c r="M15" s="98"/>
      <c r="N15" s="40" t="s">
        <v>152</v>
      </c>
      <c r="O15" s="98"/>
      <c r="P15" s="98"/>
      <c r="Q15" s="98"/>
      <c r="R15" s="40" t="s">
        <v>152</v>
      </c>
      <c r="S15" s="98"/>
      <c r="T15" s="98"/>
      <c r="U15" s="98"/>
      <c r="V15" s="40" t="s">
        <v>152</v>
      </c>
      <c r="W15" s="119"/>
      <c r="X15" s="98"/>
      <c r="Y15" s="98"/>
      <c r="Z15" s="40" t="s">
        <v>152</v>
      </c>
      <c r="AA15" s="114"/>
      <c r="AB15" s="114"/>
      <c r="AC15" s="123"/>
    </row>
    <row r="16" spans="1:31" x14ac:dyDescent="0.3">
      <c r="A16" s="38" t="s">
        <v>169</v>
      </c>
      <c r="B16" s="39">
        <v>2</v>
      </c>
      <c r="C16" s="97">
        <v>7759</v>
      </c>
      <c r="D16" s="97">
        <f t="shared" si="0"/>
        <v>1241.44</v>
      </c>
      <c r="E16" s="97">
        <f t="shared" si="1"/>
        <v>18000.88</v>
      </c>
      <c r="F16" s="40">
        <v>1</v>
      </c>
      <c r="G16" s="98">
        <v>7759</v>
      </c>
      <c r="H16" s="98">
        <f t="shared" si="2"/>
        <v>1241.44</v>
      </c>
      <c r="I16" s="98">
        <f t="shared" si="3"/>
        <v>9000.44</v>
      </c>
      <c r="J16" s="40">
        <v>1</v>
      </c>
      <c r="K16" s="98">
        <v>7759</v>
      </c>
      <c r="L16" s="98">
        <f t="shared" si="4"/>
        <v>1241.44</v>
      </c>
      <c r="M16" s="98">
        <f t="shared" si="5"/>
        <v>9000.44</v>
      </c>
      <c r="N16" s="40">
        <v>1</v>
      </c>
      <c r="O16" s="98">
        <v>7759</v>
      </c>
      <c r="P16" s="98">
        <f>(O16*16%)</f>
        <v>1241.44</v>
      </c>
      <c r="Q16" s="98">
        <f>(P16+O16)</f>
        <v>9000.44</v>
      </c>
      <c r="R16" s="40">
        <v>1</v>
      </c>
      <c r="S16" s="98">
        <v>7759</v>
      </c>
      <c r="T16" s="98">
        <f>(S16*16%)</f>
        <v>1241.44</v>
      </c>
      <c r="U16" s="98">
        <f>(T16+S16)*R16</f>
        <v>9000.44</v>
      </c>
      <c r="V16" s="40">
        <v>1</v>
      </c>
      <c r="W16" s="119">
        <v>7759</v>
      </c>
      <c r="X16" s="98"/>
      <c r="Y16" s="98">
        <f>(X16+W16)*V16</f>
        <v>7759</v>
      </c>
      <c r="Z16" s="40" t="s">
        <v>157</v>
      </c>
      <c r="AA16" s="114">
        <v>7759</v>
      </c>
      <c r="AB16" s="114">
        <f>(AA16*16%)</f>
        <v>1241.44</v>
      </c>
      <c r="AC16" s="123">
        <f>((AB16+AA16)*1)*22</f>
        <v>198009.68000000002</v>
      </c>
    </row>
    <row r="17" spans="1:29" x14ac:dyDescent="0.3">
      <c r="A17" s="38" t="s">
        <v>170</v>
      </c>
      <c r="B17" s="39">
        <v>1</v>
      </c>
      <c r="C17" s="97">
        <v>28448</v>
      </c>
      <c r="D17" s="97">
        <f t="shared" si="0"/>
        <v>4551.68</v>
      </c>
      <c r="E17" s="97">
        <f t="shared" si="1"/>
        <v>32999.68</v>
      </c>
      <c r="F17" s="40" t="s">
        <v>152</v>
      </c>
      <c r="G17" s="98"/>
      <c r="H17" s="98"/>
      <c r="I17" s="98"/>
      <c r="J17" s="40" t="s">
        <v>152</v>
      </c>
      <c r="K17" s="98"/>
      <c r="L17" s="98"/>
      <c r="M17" s="98"/>
      <c r="N17" s="40" t="s">
        <v>152</v>
      </c>
      <c r="O17" s="98"/>
      <c r="P17" s="98"/>
      <c r="Q17" s="98"/>
      <c r="R17" s="40" t="s">
        <v>152</v>
      </c>
      <c r="S17" s="98"/>
      <c r="T17" s="98"/>
      <c r="U17" s="98"/>
      <c r="V17" s="40" t="s">
        <v>152</v>
      </c>
      <c r="W17" s="119"/>
      <c r="X17" s="98"/>
      <c r="Y17" s="98"/>
      <c r="Z17" s="40" t="s">
        <v>152</v>
      </c>
      <c r="AA17" s="114"/>
      <c r="AB17" s="114"/>
      <c r="AC17" s="123"/>
    </row>
    <row r="18" spans="1:29" x14ac:dyDescent="0.3">
      <c r="A18" s="38" t="s">
        <v>171</v>
      </c>
      <c r="B18" s="39">
        <v>1</v>
      </c>
      <c r="C18" s="97">
        <v>28448</v>
      </c>
      <c r="D18" s="97">
        <f t="shared" si="0"/>
        <v>4551.68</v>
      </c>
      <c r="E18" s="97">
        <f t="shared" si="1"/>
        <v>32999.68</v>
      </c>
      <c r="F18" s="40" t="s">
        <v>152</v>
      </c>
      <c r="G18" s="98"/>
      <c r="H18" s="98"/>
      <c r="I18" s="98"/>
      <c r="J18" s="40" t="s">
        <v>152</v>
      </c>
      <c r="K18" s="98"/>
      <c r="L18" s="98"/>
      <c r="M18" s="98"/>
      <c r="N18" s="40" t="s">
        <v>152</v>
      </c>
      <c r="O18" s="98"/>
      <c r="P18" s="98"/>
      <c r="Q18" s="98"/>
      <c r="R18" s="40" t="s">
        <v>152</v>
      </c>
      <c r="S18" s="98"/>
      <c r="T18" s="98"/>
      <c r="U18" s="98"/>
      <c r="V18" s="40" t="s">
        <v>152</v>
      </c>
      <c r="W18" s="119"/>
      <c r="X18" s="98"/>
      <c r="Y18" s="98"/>
      <c r="Z18" s="40" t="s">
        <v>152</v>
      </c>
      <c r="AA18" s="114"/>
      <c r="AB18" s="114"/>
      <c r="AC18" s="123"/>
    </row>
    <row r="19" spans="1:29" x14ac:dyDescent="0.3">
      <c r="A19" s="38" t="s">
        <v>172</v>
      </c>
      <c r="B19" s="39">
        <v>9</v>
      </c>
      <c r="C19" s="97">
        <v>638</v>
      </c>
      <c r="D19" s="97">
        <f t="shared" si="0"/>
        <v>102.08</v>
      </c>
      <c r="E19" s="97">
        <f t="shared" si="1"/>
        <v>6660.72</v>
      </c>
      <c r="F19" s="40">
        <v>1</v>
      </c>
      <c r="G19" s="98">
        <v>638</v>
      </c>
      <c r="H19" s="98">
        <f t="shared" si="2"/>
        <v>102.08</v>
      </c>
      <c r="I19" s="98">
        <f t="shared" si="3"/>
        <v>740.08</v>
      </c>
      <c r="J19" s="40">
        <v>1</v>
      </c>
      <c r="K19" s="98">
        <v>638</v>
      </c>
      <c r="L19" s="98">
        <f t="shared" si="4"/>
        <v>102.08</v>
      </c>
      <c r="M19" s="98">
        <f t="shared" si="5"/>
        <v>740.08</v>
      </c>
      <c r="N19" s="40">
        <v>1</v>
      </c>
      <c r="O19" s="98">
        <v>638</v>
      </c>
      <c r="P19" s="98">
        <f>(O19*16%)</f>
        <v>102.08</v>
      </c>
      <c r="Q19" s="98">
        <f>(P19+O19)</f>
        <v>740.08</v>
      </c>
      <c r="R19" s="40">
        <v>1</v>
      </c>
      <c r="S19" s="98">
        <v>638</v>
      </c>
      <c r="T19" s="98">
        <f>(S19*16%)</f>
        <v>102.08</v>
      </c>
      <c r="U19" s="98">
        <f>(T19+S19)*R19</f>
        <v>740.08</v>
      </c>
      <c r="V19" s="40">
        <v>1</v>
      </c>
      <c r="W19" s="119">
        <v>638</v>
      </c>
      <c r="X19" s="98"/>
      <c r="Y19" s="98">
        <f>(X19+W19)*V19</f>
        <v>638</v>
      </c>
      <c r="Z19" s="40" t="s">
        <v>157</v>
      </c>
      <c r="AA19" s="114">
        <v>638</v>
      </c>
      <c r="AB19" s="114">
        <f>(AA19*16%)</f>
        <v>102.08</v>
      </c>
      <c r="AC19" s="123">
        <f>((AB19+AA19)*1)*22</f>
        <v>16281.76</v>
      </c>
    </row>
    <row r="20" spans="1:29" ht="27" x14ac:dyDescent="0.3">
      <c r="A20" s="38" t="s">
        <v>173</v>
      </c>
      <c r="B20" s="39">
        <v>1</v>
      </c>
      <c r="C20" s="97">
        <v>2543</v>
      </c>
      <c r="D20" s="97">
        <f t="shared" si="0"/>
        <v>406.88</v>
      </c>
      <c r="E20" s="97">
        <f t="shared" si="1"/>
        <v>2949.88</v>
      </c>
      <c r="F20" s="40" t="s">
        <v>152</v>
      </c>
      <c r="G20" s="98"/>
      <c r="H20" s="98"/>
      <c r="I20" s="98"/>
      <c r="J20" s="40" t="s">
        <v>152</v>
      </c>
      <c r="K20" s="98"/>
      <c r="L20" s="98"/>
      <c r="M20" s="98"/>
      <c r="N20" s="40" t="s">
        <v>152</v>
      </c>
      <c r="O20" s="98"/>
      <c r="P20" s="98"/>
      <c r="Q20" s="98"/>
      <c r="R20" s="40" t="s">
        <v>152</v>
      </c>
      <c r="S20" s="98"/>
      <c r="T20" s="98"/>
      <c r="U20" s="98"/>
      <c r="V20" s="40" t="s">
        <v>152</v>
      </c>
      <c r="W20" s="119"/>
      <c r="X20" s="98"/>
      <c r="Y20" s="98"/>
      <c r="Z20" s="40" t="s">
        <v>152</v>
      </c>
      <c r="AA20" s="114"/>
      <c r="AB20" s="114"/>
      <c r="AC20" s="123"/>
    </row>
    <row r="21" spans="1:29" ht="88.5" customHeight="1" x14ac:dyDescent="0.3">
      <c r="A21" s="34"/>
      <c r="B21" s="34"/>
      <c r="C21" s="34"/>
      <c r="D21" s="42" t="s">
        <v>199</v>
      </c>
      <c r="E21" s="100">
        <f>SUM(E3:E20)*8</f>
        <v>4325213.12</v>
      </c>
      <c r="F21" s="101"/>
      <c r="G21" s="101"/>
      <c r="H21" s="42" t="s">
        <v>199</v>
      </c>
      <c r="I21" s="100">
        <f>SUM(I3:I20)*8</f>
        <v>237549.44</v>
      </c>
      <c r="J21" s="34"/>
      <c r="K21" s="34"/>
      <c r="L21" s="42" t="s">
        <v>199</v>
      </c>
      <c r="M21" s="100">
        <f>SUM(M3:M20)*8</f>
        <v>237549.44</v>
      </c>
      <c r="N21" s="35"/>
      <c r="O21" s="35"/>
      <c r="P21" s="42" t="s">
        <v>199</v>
      </c>
      <c r="Q21" s="100">
        <f>SUM(Q3:Q20)*8</f>
        <v>190722.56</v>
      </c>
      <c r="R21" s="35"/>
      <c r="S21" s="35"/>
      <c r="T21" s="42" t="s">
        <v>199</v>
      </c>
      <c r="U21" s="100">
        <f>SUM(U3:U20)*8</f>
        <v>237549.44</v>
      </c>
      <c r="V21" s="41"/>
      <c r="W21" s="120"/>
      <c r="X21" s="42" t="s">
        <v>199</v>
      </c>
      <c r="Y21" s="100">
        <f>SUM(Y6:Y20)</f>
        <v>14949</v>
      </c>
      <c r="Z21" s="35"/>
      <c r="AA21" s="35"/>
      <c r="AB21" s="42" t="s">
        <v>199</v>
      </c>
      <c r="AC21" s="124">
        <f>SUM(AC3:AC20)*8</f>
        <v>3035952</v>
      </c>
    </row>
    <row r="22" spans="1:29" ht="112.5" customHeight="1" x14ac:dyDescent="0.3">
      <c r="A22" s="34"/>
      <c r="B22" s="34"/>
      <c r="C22" s="34"/>
      <c r="D22" s="42" t="s">
        <v>205</v>
      </c>
      <c r="E22" s="100">
        <f>+((E21/8)*12)*3.66/100+(E21/8)*12</f>
        <v>6725273.8802879993</v>
      </c>
      <c r="F22" s="101"/>
      <c r="G22" s="34"/>
      <c r="H22" s="42" t="s">
        <v>205</v>
      </c>
      <c r="I22" s="100">
        <f>+((I21/8)*12)*3.66/100+(I21/8)*12</f>
        <v>369365.62425600004</v>
      </c>
      <c r="J22" s="34"/>
      <c r="K22" s="34"/>
      <c r="L22" s="42" t="s">
        <v>205</v>
      </c>
      <c r="M22" s="100">
        <f>+((M21/8)*12)*3.66/100+(M21/8)*12</f>
        <v>369365.62425600004</v>
      </c>
      <c r="N22" s="35"/>
      <c r="O22" s="35"/>
      <c r="P22" s="42" t="s">
        <v>205</v>
      </c>
      <c r="Q22" s="100">
        <f>+((Q21/8)*12)*3.66/100+(Q21/8)*12</f>
        <v>296554.50854399998</v>
      </c>
      <c r="R22" s="35"/>
      <c r="S22" s="35"/>
      <c r="T22" s="42" t="s">
        <v>205</v>
      </c>
      <c r="U22" s="100">
        <f>+((U21/8)*12)*3.66/100+(U21/8)*12</f>
        <v>369365.62425600004</v>
      </c>
      <c r="V22" s="41"/>
      <c r="W22" s="120"/>
      <c r="X22" s="42" t="s">
        <v>205</v>
      </c>
      <c r="Y22" s="100">
        <f>+((Y21/8)*12)*3.66/100+(Y21/8)*12</f>
        <v>23244.200100000002</v>
      </c>
      <c r="Z22" s="35"/>
      <c r="AA22" s="35"/>
      <c r="AB22" s="42" t="s">
        <v>205</v>
      </c>
      <c r="AC22" s="124">
        <f>+((AC21/8)*12)*3.66/100+(AC21/8)*12</f>
        <v>4720601.7648</v>
      </c>
    </row>
    <row r="23" spans="1:29" ht="99.75" customHeight="1" x14ac:dyDescent="0.3">
      <c r="A23" s="34"/>
      <c r="B23" s="34"/>
      <c r="C23" s="34"/>
      <c r="D23" s="42" t="s">
        <v>206</v>
      </c>
      <c r="E23" s="100">
        <f>(((E22/12)*3.66/100)+E22/12)*4</f>
        <v>2323806.3014355134</v>
      </c>
      <c r="F23" s="102"/>
      <c r="G23" s="102"/>
      <c r="H23" s="42" t="s">
        <v>206</v>
      </c>
      <c r="I23" s="100">
        <f>(((I22/12)*3.66/100)+I22/12)*4</f>
        <v>127628.13536792321</v>
      </c>
      <c r="J23" s="34"/>
      <c r="K23" s="34"/>
      <c r="L23" s="42" t="s">
        <v>206</v>
      </c>
      <c r="M23" s="100">
        <f>(((M22/12)*3.66/100)+M22/12)*4</f>
        <v>127628.13536792321</v>
      </c>
      <c r="N23" s="35"/>
      <c r="O23" s="35"/>
      <c r="P23" s="42" t="s">
        <v>206</v>
      </c>
      <c r="Q23" s="100">
        <f>(((Q22/12)*3.66/100)+Q22/12)*4</f>
        <v>102469.46785223679</v>
      </c>
      <c r="R23" s="35"/>
      <c r="S23" s="35"/>
      <c r="T23" s="42" t="s">
        <v>206</v>
      </c>
      <c r="U23" s="100">
        <f>(((U22/12)*3.66/100)+U22/12)*4</f>
        <v>127628.13536792321</v>
      </c>
      <c r="V23" s="41"/>
      <c r="W23" s="120"/>
      <c r="X23" s="42" t="s">
        <v>206</v>
      </c>
      <c r="Y23" s="100">
        <f>(((Y22/12)*3.66/100)+Y22/12)*4</f>
        <v>8031.6459412200002</v>
      </c>
      <c r="Z23" s="35"/>
      <c r="AA23" s="35"/>
      <c r="AB23" s="42" t="s">
        <v>206</v>
      </c>
      <c r="AC23" s="124">
        <f>(((AC22/12)*3.66/100)+AC22/12)*4</f>
        <v>1631125.2631305601</v>
      </c>
    </row>
    <row r="24" spans="1:29" ht="93" customHeight="1" x14ac:dyDescent="0.3">
      <c r="A24" s="34"/>
      <c r="B24" s="34"/>
      <c r="C24" s="34"/>
      <c r="D24" s="42" t="s">
        <v>200</v>
      </c>
      <c r="E24" s="100">
        <f>+E21+E22+E23</f>
        <v>13374293.301723512</v>
      </c>
      <c r="F24" s="34"/>
      <c r="G24" s="34"/>
      <c r="H24" s="42" t="s">
        <v>200</v>
      </c>
      <c r="I24" s="100">
        <f>+I21+I22+I23</f>
        <v>734543.19962392328</v>
      </c>
      <c r="J24" s="34"/>
      <c r="K24" s="34"/>
      <c r="L24" s="42" t="s">
        <v>200</v>
      </c>
      <c r="M24" s="100">
        <f>+M21+M22+M23</f>
        <v>734543.19962392328</v>
      </c>
      <c r="N24" s="34"/>
      <c r="O24" s="34"/>
      <c r="P24" s="42" t="s">
        <v>200</v>
      </c>
      <c r="Q24" s="100">
        <f>+Q21+Q22+Q23</f>
        <v>589746.53639623674</v>
      </c>
      <c r="R24" s="34"/>
      <c r="S24" s="34"/>
      <c r="T24" s="42" t="s">
        <v>200</v>
      </c>
      <c r="U24" s="100">
        <f>+U21+U22+U23</f>
        <v>734543.19962392328</v>
      </c>
      <c r="V24" s="34"/>
      <c r="W24" s="121"/>
      <c r="X24" s="42" t="s">
        <v>200</v>
      </c>
      <c r="Y24" s="100">
        <f>+Y21+Y22+Y23</f>
        <v>46224.84604122</v>
      </c>
      <c r="Z24" s="34"/>
      <c r="AA24" s="35"/>
      <c r="AB24" s="42" t="s">
        <v>200</v>
      </c>
      <c r="AC24" s="124">
        <f>+AC21+AC22+AC23</f>
        <v>9387679.0279305596</v>
      </c>
    </row>
    <row r="25" spans="1:29" x14ac:dyDescent="0.3">
      <c r="A25" s="34"/>
      <c r="B25" s="34"/>
      <c r="C25" s="34"/>
      <c r="D25" s="44"/>
      <c r="E25" s="99"/>
      <c r="F25" s="34"/>
      <c r="G25" s="34"/>
      <c r="H25" s="34"/>
      <c r="I25" s="34"/>
      <c r="J25" s="34"/>
      <c r="K25" s="34"/>
      <c r="L25" s="34"/>
      <c r="M25" s="34"/>
      <c r="N25" s="34"/>
      <c r="O25" s="34"/>
      <c r="P25" s="34"/>
      <c r="Q25" s="34"/>
      <c r="R25" s="34"/>
      <c r="S25" s="34"/>
      <c r="T25" s="34"/>
      <c r="U25" s="34"/>
      <c r="V25" s="34"/>
      <c r="W25" s="121"/>
      <c r="X25" s="34"/>
      <c r="Y25" s="34"/>
      <c r="Z25" s="34"/>
      <c r="AA25" s="35"/>
      <c r="AB25" s="34"/>
      <c r="AC25" s="125"/>
    </row>
    <row r="26" spans="1:29" x14ac:dyDescent="0.3">
      <c r="A26" s="34"/>
      <c r="B26" s="34"/>
      <c r="C26" s="34"/>
      <c r="D26" s="160" t="s">
        <v>207</v>
      </c>
      <c r="E26" s="160"/>
      <c r="F26" s="160"/>
      <c r="G26" s="160"/>
      <c r="H26" s="160"/>
      <c r="I26" s="160"/>
      <c r="J26" s="160"/>
      <c r="K26" s="160"/>
      <c r="L26" s="160"/>
      <c r="M26" s="160"/>
      <c r="N26" s="160"/>
      <c r="O26" s="160"/>
      <c r="P26" s="160"/>
      <c r="Q26" s="199">
        <f>(I24+M24+Q24+U24+Y24+AC24)</f>
        <v>12227280.009239785</v>
      </c>
      <c r="R26" s="200"/>
      <c r="S26" s="200"/>
      <c r="T26" s="200"/>
      <c r="U26" s="200"/>
      <c r="V26" s="200"/>
      <c r="W26" s="200"/>
      <c r="X26" s="200"/>
      <c r="Y26" s="200"/>
      <c r="Z26" s="200"/>
      <c r="AA26" s="200"/>
      <c r="AB26" s="200"/>
      <c r="AC26" s="201"/>
    </row>
    <row r="27" spans="1:29" x14ac:dyDescent="0.3">
      <c r="A27" s="34"/>
      <c r="B27" s="34"/>
      <c r="C27" s="34"/>
      <c r="D27" s="34"/>
      <c r="E27" s="34"/>
      <c r="F27" s="34"/>
      <c r="G27" s="34"/>
      <c r="H27" s="34"/>
      <c r="I27" s="34"/>
      <c r="J27" s="34"/>
      <c r="K27" s="34"/>
      <c r="L27" s="34"/>
      <c r="M27" s="34"/>
      <c r="N27" s="34"/>
      <c r="O27" s="34"/>
      <c r="P27" s="34"/>
      <c r="Q27" s="34"/>
      <c r="R27" s="34"/>
      <c r="S27" s="34"/>
      <c r="T27" s="34"/>
      <c r="U27" s="34"/>
      <c r="V27" s="34"/>
      <c r="W27" s="121"/>
      <c r="X27" s="34"/>
      <c r="Y27" s="34"/>
      <c r="Z27" s="34"/>
      <c r="AA27" s="35"/>
      <c r="AB27" s="34"/>
    </row>
    <row r="28" spans="1:29" x14ac:dyDescent="0.3">
      <c r="A28" s="153" t="s">
        <v>182</v>
      </c>
      <c r="B28" s="153"/>
      <c r="C28" s="153"/>
      <c r="D28" s="153"/>
      <c r="E28" s="153"/>
      <c r="F28" s="153"/>
      <c r="G28" s="153"/>
      <c r="H28" s="153"/>
      <c r="I28" s="153"/>
      <c r="J28" s="153"/>
      <c r="K28" s="153"/>
      <c r="L28" s="153"/>
      <c r="M28" s="153"/>
      <c r="N28" s="153"/>
      <c r="O28" s="153"/>
      <c r="P28" s="153"/>
      <c r="Q28" s="153"/>
    </row>
    <row r="29" spans="1:29" x14ac:dyDescent="0.3">
      <c r="A29" s="153"/>
      <c r="B29" s="153"/>
      <c r="C29" s="153"/>
      <c r="D29" s="153"/>
      <c r="E29" s="153"/>
      <c r="F29" s="153"/>
      <c r="G29" s="153"/>
      <c r="H29" s="153"/>
      <c r="I29" s="153"/>
      <c r="J29" s="153"/>
      <c r="K29" s="153"/>
      <c r="L29" s="153"/>
      <c r="M29" s="153"/>
      <c r="N29" s="153"/>
      <c r="O29" s="153"/>
      <c r="P29" s="153"/>
      <c r="Q29" s="153"/>
    </row>
    <row r="30" spans="1:29" x14ac:dyDescent="0.3">
      <c r="A30" s="1"/>
      <c r="B30" s="1"/>
      <c r="C30" s="1"/>
      <c r="D30" s="1"/>
      <c r="E30" s="1"/>
      <c r="F30" s="1"/>
      <c r="G30" s="1"/>
      <c r="H30" s="1"/>
      <c r="I30" s="15"/>
      <c r="J30" s="15"/>
      <c r="K30" s="15"/>
      <c r="L30" s="15"/>
      <c r="M30" s="15"/>
      <c r="N30" s="15"/>
      <c r="O30" s="15"/>
      <c r="P30" s="15"/>
      <c r="Q30" s="15"/>
    </row>
    <row r="31" spans="1:29" ht="81" x14ac:dyDescent="0.3">
      <c r="A31" s="51" t="s">
        <v>179</v>
      </c>
      <c r="B31" s="154" t="s">
        <v>180</v>
      </c>
      <c r="C31" s="154"/>
      <c r="D31" s="154"/>
      <c r="E31" s="154"/>
      <c r="F31" s="154"/>
      <c r="G31" s="154"/>
      <c r="H31" s="49" t="s">
        <v>181</v>
      </c>
      <c r="I31" s="15"/>
      <c r="J31" s="15"/>
      <c r="K31" s="15"/>
      <c r="L31" s="15"/>
      <c r="M31" s="15"/>
      <c r="N31" s="15"/>
      <c r="O31" s="15"/>
      <c r="P31" s="15"/>
      <c r="Q31" s="15"/>
    </row>
    <row r="32" spans="1:29" x14ac:dyDescent="0.3">
      <c r="A32" s="50"/>
      <c r="B32" s="163"/>
      <c r="C32" s="163"/>
      <c r="D32" s="163"/>
      <c r="E32" s="163"/>
      <c r="F32" s="163"/>
      <c r="G32" s="163"/>
      <c r="H32" s="2"/>
      <c r="I32" s="15"/>
      <c r="J32" s="15"/>
      <c r="K32" s="15"/>
      <c r="L32" s="15"/>
      <c r="M32" s="15"/>
      <c r="N32" s="15"/>
      <c r="O32" s="15"/>
      <c r="P32" s="15"/>
      <c r="Q32" s="15"/>
    </row>
    <row r="34" spans="1:17" x14ac:dyDescent="0.3">
      <c r="A34" s="158" t="s">
        <v>183</v>
      </c>
      <c r="B34" s="158"/>
      <c r="C34" s="158"/>
      <c r="D34" s="158"/>
      <c r="E34" s="158"/>
      <c r="F34" s="158"/>
      <c r="G34" s="158"/>
      <c r="H34" s="158"/>
      <c r="I34" s="158"/>
      <c r="J34" s="158"/>
      <c r="K34" s="158"/>
      <c r="L34" s="158"/>
      <c r="M34" s="158"/>
      <c r="N34" s="158"/>
      <c r="O34" s="158"/>
      <c r="P34" s="158"/>
      <c r="Q34" s="158"/>
    </row>
    <row r="35" spans="1:17" ht="105" customHeight="1" x14ac:dyDescent="0.3">
      <c r="A35" s="193" t="s">
        <v>263</v>
      </c>
      <c r="B35" s="193"/>
      <c r="C35" s="193"/>
      <c r="D35" s="193"/>
      <c r="E35" s="193"/>
      <c r="F35" s="193"/>
      <c r="G35" s="193"/>
      <c r="H35" s="193"/>
    </row>
    <row r="36" spans="1:17" ht="31.5" customHeight="1" x14ac:dyDescent="0.3">
      <c r="A36" s="192" t="s">
        <v>248</v>
      </c>
      <c r="B36" s="192"/>
      <c r="C36" s="192"/>
      <c r="D36" s="192"/>
      <c r="E36" s="192"/>
      <c r="F36" s="192"/>
      <c r="G36" s="192"/>
      <c r="H36" s="192"/>
    </row>
    <row r="37" spans="1:17" ht="30.75" customHeight="1" x14ac:dyDescent="0.3">
      <c r="A37" s="192" t="s">
        <v>272</v>
      </c>
      <c r="B37" s="192"/>
      <c r="C37" s="192"/>
      <c r="D37" s="192"/>
      <c r="E37" s="192"/>
      <c r="F37" s="192"/>
      <c r="G37" s="192"/>
      <c r="H37" s="192"/>
    </row>
  </sheetData>
  <mergeCells count="17">
    <mergeCell ref="D26:P26"/>
    <mergeCell ref="Q26:AC26"/>
    <mergeCell ref="A28:Q29"/>
    <mergeCell ref="B31:G31"/>
    <mergeCell ref="Z1:AC1"/>
    <mergeCell ref="A1:A2"/>
    <mergeCell ref="B1:E1"/>
    <mergeCell ref="F1:I1"/>
    <mergeCell ref="J1:M1"/>
    <mergeCell ref="N1:Q1"/>
    <mergeCell ref="R1:U1"/>
    <mergeCell ref="V1:Y1"/>
    <mergeCell ref="A37:H37"/>
    <mergeCell ref="A36:H36"/>
    <mergeCell ref="A35:H35"/>
    <mergeCell ref="B32:G32"/>
    <mergeCell ref="A34:Q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5" workbookViewId="0">
      <selection activeCell="A18" sqref="A18"/>
    </sheetView>
  </sheetViews>
  <sheetFormatPr baseColWidth="10" defaultRowHeight="15" x14ac:dyDescent="0.25"/>
  <cols>
    <col min="1" max="1" width="27.85546875" customWidth="1"/>
    <col min="3" max="3" width="11.7109375" bestFit="1" customWidth="1"/>
    <col min="4" max="4" width="11.5703125" bestFit="1" customWidth="1"/>
    <col min="5" max="5" width="11.7109375" bestFit="1" customWidth="1"/>
    <col min="7" max="8" width="11.7109375" bestFit="1" customWidth="1"/>
    <col min="9" max="9" width="12.7109375" bestFit="1" customWidth="1"/>
    <col min="11" max="11" width="11.7109375" bestFit="1" customWidth="1"/>
    <col min="13" max="13" width="11.7109375" bestFit="1" customWidth="1"/>
  </cols>
  <sheetData>
    <row r="1" spans="1:17" ht="24.75" customHeight="1" x14ac:dyDescent="0.25">
      <c r="A1" s="206" t="s">
        <v>29</v>
      </c>
      <c r="B1" s="171" t="s">
        <v>142</v>
      </c>
      <c r="C1" s="171"/>
      <c r="D1" s="171"/>
      <c r="E1" s="171"/>
      <c r="F1" s="171" t="s">
        <v>143</v>
      </c>
      <c r="G1" s="171"/>
      <c r="H1" s="171"/>
      <c r="I1" s="171"/>
      <c r="J1" s="171" t="s">
        <v>144</v>
      </c>
      <c r="K1" s="171"/>
      <c r="L1" s="171"/>
      <c r="M1" s="171"/>
      <c r="N1" s="45"/>
    </row>
    <row r="2" spans="1:17" ht="36" x14ac:dyDescent="0.25">
      <c r="A2" s="206"/>
      <c r="B2" s="21" t="s">
        <v>139</v>
      </c>
      <c r="C2" s="21" t="s">
        <v>175</v>
      </c>
      <c r="D2" s="21" t="s">
        <v>194</v>
      </c>
      <c r="E2" s="21" t="s">
        <v>201</v>
      </c>
      <c r="F2" s="21" t="s">
        <v>138</v>
      </c>
      <c r="G2" s="21" t="s">
        <v>175</v>
      </c>
      <c r="H2" s="21" t="s">
        <v>194</v>
      </c>
      <c r="I2" s="21" t="s">
        <v>201</v>
      </c>
      <c r="J2" s="21" t="s">
        <v>138</v>
      </c>
      <c r="K2" s="21" t="s">
        <v>175</v>
      </c>
      <c r="L2" s="21" t="s">
        <v>194</v>
      </c>
      <c r="M2" s="21" t="s">
        <v>201</v>
      </c>
    </row>
    <row r="3" spans="1:17" ht="36" x14ac:dyDescent="0.25">
      <c r="A3" s="46" t="s">
        <v>174</v>
      </c>
      <c r="B3" s="26">
        <v>1</v>
      </c>
      <c r="C3" s="103">
        <v>4850000</v>
      </c>
      <c r="D3" s="103">
        <f>(C3*16%)</f>
        <v>776000</v>
      </c>
      <c r="E3" s="103">
        <f>(D3+C3)</f>
        <v>5626000</v>
      </c>
      <c r="F3" s="26">
        <v>2</v>
      </c>
      <c r="G3" s="103">
        <f>((C3*3.66%)+C3)</f>
        <v>5027510</v>
      </c>
      <c r="H3" s="103">
        <f>(G3*16%)</f>
        <v>804401.6</v>
      </c>
      <c r="I3" s="103">
        <f>((H3+G3)*2)</f>
        <v>11663823.199999999</v>
      </c>
      <c r="J3" s="26">
        <v>1</v>
      </c>
      <c r="K3" s="103">
        <f>(G3*3.66%)+G3</f>
        <v>5211516.8660000004</v>
      </c>
      <c r="L3" s="103">
        <f>(K3*16%)</f>
        <v>833842.69856000005</v>
      </c>
      <c r="M3" s="103">
        <f>(L3+K3)</f>
        <v>6045359.5645600008</v>
      </c>
    </row>
    <row r="4" spans="1:17" ht="6.75" customHeight="1" x14ac:dyDescent="0.25">
      <c r="A4" s="9"/>
      <c r="D4" s="60"/>
      <c r="M4" s="32"/>
    </row>
    <row r="5" spans="1:17" ht="15" customHeight="1" x14ac:dyDescent="0.25">
      <c r="A5" s="160" t="s">
        <v>200</v>
      </c>
      <c r="B5" s="160"/>
      <c r="C5" s="160"/>
      <c r="D5" s="160"/>
      <c r="E5" s="160"/>
      <c r="F5" s="160"/>
      <c r="G5" s="160"/>
      <c r="H5" s="160"/>
      <c r="I5" s="160"/>
      <c r="J5" s="203">
        <f>(E3+I3+M3)</f>
        <v>23335182.764559999</v>
      </c>
      <c r="K5" s="204"/>
      <c r="L5" s="204"/>
      <c r="M5" s="205"/>
    </row>
    <row r="6" spans="1:17" ht="9" customHeight="1" x14ac:dyDescent="0.25">
      <c r="A6" s="9"/>
    </row>
    <row r="7" spans="1:17" ht="15" customHeight="1" x14ac:dyDescent="0.25">
      <c r="A7" s="153" t="s">
        <v>182</v>
      </c>
      <c r="B7" s="153"/>
      <c r="C7" s="153"/>
      <c r="D7" s="153"/>
      <c r="E7" s="153"/>
      <c r="F7" s="153"/>
      <c r="G7" s="153"/>
      <c r="H7" s="153"/>
      <c r="I7" s="153"/>
      <c r="J7" s="153"/>
      <c r="K7" s="153"/>
      <c r="L7" s="153"/>
      <c r="M7" s="153"/>
      <c r="N7" s="52"/>
      <c r="O7" s="52"/>
      <c r="P7" s="52"/>
      <c r="Q7" s="52"/>
    </row>
    <row r="8" spans="1:17" ht="5.25" customHeight="1" x14ac:dyDescent="0.25">
      <c r="A8" s="1"/>
      <c r="B8" s="1"/>
      <c r="C8" s="1"/>
      <c r="D8" s="1"/>
      <c r="E8" s="1"/>
      <c r="F8" s="1"/>
      <c r="G8" s="1"/>
      <c r="H8" s="1"/>
      <c r="I8" s="15"/>
      <c r="J8" s="15"/>
      <c r="K8" s="15"/>
      <c r="L8" s="15"/>
      <c r="M8" s="15"/>
      <c r="N8" s="15"/>
      <c r="O8" s="15"/>
      <c r="P8" s="15"/>
      <c r="Q8" s="15"/>
    </row>
    <row r="9" spans="1:17" ht="81" x14ac:dyDescent="0.25">
      <c r="A9" s="48" t="s">
        <v>179</v>
      </c>
      <c r="B9" s="154" t="s">
        <v>180</v>
      </c>
      <c r="C9" s="154"/>
      <c r="D9" s="154"/>
      <c r="E9" s="154"/>
      <c r="F9" s="154"/>
      <c r="G9" s="154"/>
      <c r="H9" s="49" t="s">
        <v>181</v>
      </c>
      <c r="I9" s="15"/>
      <c r="J9" s="15"/>
      <c r="K9" s="15"/>
      <c r="L9" s="15"/>
      <c r="M9" s="15"/>
      <c r="N9" s="15"/>
      <c r="O9" s="15"/>
      <c r="P9" s="15"/>
      <c r="Q9" s="15"/>
    </row>
    <row r="10" spans="1:17" x14ac:dyDescent="0.25">
      <c r="A10" s="50"/>
      <c r="B10" s="163"/>
      <c r="C10" s="163"/>
      <c r="D10" s="163"/>
      <c r="E10" s="163"/>
      <c r="F10" s="163"/>
      <c r="G10" s="163"/>
      <c r="H10" s="2"/>
      <c r="I10" s="15"/>
      <c r="J10" s="15"/>
      <c r="K10" s="15"/>
      <c r="L10" s="15"/>
      <c r="M10" s="15"/>
      <c r="N10" s="15"/>
      <c r="O10" s="15"/>
      <c r="P10" s="15"/>
      <c r="Q10" s="15"/>
    </row>
    <row r="12" spans="1:17" ht="15" customHeight="1" x14ac:dyDescent="0.25">
      <c r="A12" s="158" t="s">
        <v>183</v>
      </c>
      <c r="B12" s="158"/>
      <c r="C12" s="158"/>
      <c r="D12" s="158"/>
      <c r="E12" s="158"/>
      <c r="F12" s="158"/>
      <c r="G12" s="158"/>
      <c r="H12" s="158"/>
      <c r="I12" s="158"/>
      <c r="J12" s="158"/>
      <c r="K12" s="158"/>
      <c r="L12" s="158"/>
      <c r="M12" s="158"/>
      <c r="N12" s="54"/>
      <c r="O12" s="54"/>
      <c r="P12" s="54"/>
      <c r="Q12" s="54"/>
    </row>
    <row r="14" spans="1:17" ht="36" customHeight="1" x14ac:dyDescent="0.25">
      <c r="A14" s="177" t="s">
        <v>252</v>
      </c>
      <c r="B14" s="177"/>
      <c r="C14" s="177"/>
      <c r="D14" s="177"/>
      <c r="E14" s="177"/>
      <c r="F14" s="177"/>
      <c r="G14" s="177"/>
      <c r="H14" s="177"/>
      <c r="I14" s="177"/>
      <c r="J14" s="177"/>
      <c r="K14" s="177"/>
      <c r="L14" s="177"/>
      <c r="M14" s="177"/>
    </row>
    <row r="15" spans="1:17" x14ac:dyDescent="0.25">
      <c r="A15" s="207" t="s">
        <v>248</v>
      </c>
      <c r="B15" s="207"/>
      <c r="C15" s="207"/>
      <c r="D15" s="207"/>
      <c r="E15" s="207"/>
      <c r="F15" s="207"/>
      <c r="G15" s="207"/>
      <c r="H15" s="207"/>
      <c r="I15" s="207"/>
      <c r="J15" s="207"/>
      <c r="K15" s="207"/>
      <c r="L15" s="207"/>
      <c r="M15" s="207"/>
    </row>
    <row r="16" spans="1:17" x14ac:dyDescent="0.25">
      <c r="A16" s="202" t="s">
        <v>272</v>
      </c>
      <c r="B16" s="202"/>
      <c r="C16" s="202"/>
      <c r="D16" s="202"/>
      <c r="E16" s="202"/>
      <c r="F16" s="202"/>
      <c r="G16" s="202"/>
      <c r="H16" s="202"/>
      <c r="I16" s="202"/>
      <c r="J16" s="202"/>
      <c r="K16" s="202"/>
      <c r="L16" s="202"/>
      <c r="M16" s="202"/>
    </row>
  </sheetData>
  <mergeCells count="13">
    <mergeCell ref="A16:M16"/>
    <mergeCell ref="A5:I5"/>
    <mergeCell ref="F1:I1"/>
    <mergeCell ref="J1:M1"/>
    <mergeCell ref="J5:M5"/>
    <mergeCell ref="A1:A2"/>
    <mergeCell ref="B1:E1"/>
    <mergeCell ref="A15:M15"/>
    <mergeCell ref="A14:M14"/>
    <mergeCell ref="B9:G9"/>
    <mergeCell ref="B10:G10"/>
    <mergeCell ref="A7:M7"/>
    <mergeCell ref="A12:M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topLeftCell="A13" workbookViewId="0">
      <selection activeCell="I16" sqref="I16"/>
    </sheetView>
  </sheetViews>
  <sheetFormatPr baseColWidth="10" defaultRowHeight="15" x14ac:dyDescent="0.25"/>
  <cols>
    <col min="5" max="5" width="20.85546875" customWidth="1"/>
    <col min="6" max="6" width="52.28515625" customWidth="1"/>
  </cols>
  <sheetData>
    <row r="2" spans="1:6" x14ac:dyDescent="0.25">
      <c r="A2" s="209" t="s">
        <v>261</v>
      </c>
      <c r="B2" s="210"/>
      <c r="C2" s="210"/>
      <c r="D2" s="210"/>
      <c r="E2" s="210"/>
      <c r="F2" s="211"/>
    </row>
    <row r="3" spans="1:6" x14ac:dyDescent="0.25">
      <c r="A3" s="212"/>
      <c r="B3" s="213"/>
      <c r="C3" s="213"/>
      <c r="D3" s="213"/>
      <c r="E3" s="213"/>
      <c r="F3" s="214"/>
    </row>
    <row r="4" spans="1:6" x14ac:dyDescent="0.25">
      <c r="A4" s="208" t="s">
        <v>186</v>
      </c>
      <c r="B4" s="208"/>
      <c r="C4" s="208"/>
      <c r="D4" s="208"/>
      <c r="E4" s="208"/>
      <c r="F4" s="104">
        <v>500877798</v>
      </c>
    </row>
    <row r="5" spans="1:6" x14ac:dyDescent="0.25">
      <c r="A5" s="208" t="s">
        <v>187</v>
      </c>
      <c r="B5" s="208"/>
      <c r="C5" s="208"/>
      <c r="D5" s="208"/>
      <c r="E5" s="208"/>
      <c r="F5" s="104">
        <v>804039848</v>
      </c>
    </row>
    <row r="6" spans="1:6" x14ac:dyDescent="0.25">
      <c r="A6" s="208" t="s">
        <v>188</v>
      </c>
      <c r="B6" s="208"/>
      <c r="C6" s="208"/>
      <c r="D6" s="208"/>
      <c r="E6" s="208"/>
      <c r="F6" s="104">
        <v>293715103</v>
      </c>
    </row>
    <row r="7" spans="1:6" ht="2.25" customHeight="1" x14ac:dyDescent="0.25">
      <c r="A7" s="55"/>
      <c r="B7" s="55"/>
      <c r="C7" s="55"/>
      <c r="D7" s="55"/>
      <c r="E7" s="55"/>
      <c r="F7" s="104"/>
    </row>
    <row r="8" spans="1:6" x14ac:dyDescent="0.25">
      <c r="A8" s="208" t="s">
        <v>184</v>
      </c>
      <c r="B8" s="208"/>
      <c r="C8" s="208"/>
      <c r="D8" s="208"/>
      <c r="E8" s="208"/>
      <c r="F8" s="104">
        <f>(F6+F5+F4)</f>
        <v>1598632749</v>
      </c>
    </row>
    <row r="9" spans="1:6" ht="45" x14ac:dyDescent="0.25">
      <c r="A9" s="208" t="s">
        <v>185</v>
      </c>
      <c r="B9" s="208"/>
      <c r="C9" s="208"/>
      <c r="D9" s="208"/>
      <c r="E9" s="208"/>
      <c r="F9" s="109" t="s">
        <v>262</v>
      </c>
    </row>
    <row r="10" spans="1:6" ht="9" customHeight="1" x14ac:dyDescent="0.25">
      <c r="A10" s="105"/>
      <c r="B10" s="105"/>
      <c r="C10" s="105"/>
      <c r="D10" s="105"/>
      <c r="E10" s="105"/>
      <c r="F10" s="15"/>
    </row>
    <row r="11" spans="1:6" ht="42.75" customHeight="1" x14ac:dyDescent="0.25">
      <c r="A11" s="215" t="s">
        <v>254</v>
      </c>
      <c r="B11" s="216"/>
      <c r="C11" s="216"/>
      <c r="D11" s="216"/>
      <c r="E11" s="216"/>
      <c r="F11" s="110">
        <f>(F8*1%)</f>
        <v>15986327.49</v>
      </c>
    </row>
    <row r="12" spans="1:6" ht="4.5" customHeight="1" x14ac:dyDescent="0.25">
      <c r="A12" s="111"/>
      <c r="B12" s="112"/>
      <c r="C12" s="112"/>
      <c r="D12" s="112"/>
      <c r="E12" s="112"/>
      <c r="F12" s="113"/>
    </row>
    <row r="13" spans="1:6" x14ac:dyDescent="0.25">
      <c r="A13" s="217" t="s">
        <v>247</v>
      </c>
      <c r="B13" s="168"/>
      <c r="C13" s="168"/>
      <c r="D13" s="168"/>
      <c r="E13" s="168"/>
      <c r="F13" s="91"/>
    </row>
    <row r="14" spans="1:6" ht="6.75" customHeight="1" x14ac:dyDescent="0.25">
      <c r="A14" s="107"/>
      <c r="B14" s="108"/>
      <c r="C14" s="108"/>
      <c r="D14" s="108"/>
      <c r="E14" s="108"/>
      <c r="F14" s="90"/>
    </row>
    <row r="15" spans="1:6" ht="31.5" customHeight="1" x14ac:dyDescent="0.25">
      <c r="A15" s="218" t="s">
        <v>255</v>
      </c>
      <c r="B15" s="218"/>
      <c r="C15" s="218"/>
      <c r="D15" s="218"/>
      <c r="E15" s="218"/>
      <c r="F15" s="104">
        <v>199108</v>
      </c>
    </row>
    <row r="16" spans="1:6" ht="31.5" customHeight="1" x14ac:dyDescent="0.25">
      <c r="A16" s="218" t="s">
        <v>256</v>
      </c>
      <c r="B16" s="218"/>
      <c r="C16" s="218"/>
      <c r="D16" s="218"/>
      <c r="E16" s="218"/>
      <c r="F16" s="104">
        <v>0</v>
      </c>
    </row>
    <row r="17" spans="1:6" ht="31.5" customHeight="1" x14ac:dyDescent="0.25">
      <c r="A17" s="218" t="s">
        <v>257</v>
      </c>
      <c r="B17" s="218"/>
      <c r="C17" s="218"/>
      <c r="D17" s="218"/>
      <c r="E17" s="218"/>
      <c r="F17" s="104">
        <v>4809</v>
      </c>
    </row>
    <row r="18" spans="1:6" ht="31.5" customHeight="1" x14ac:dyDescent="0.25">
      <c r="A18" s="218" t="s">
        <v>258</v>
      </c>
      <c r="B18" s="218"/>
      <c r="C18" s="218"/>
      <c r="D18" s="218"/>
      <c r="E18" s="218"/>
      <c r="F18" s="104">
        <v>0</v>
      </c>
    </row>
    <row r="19" spans="1:6" ht="31.5" customHeight="1" x14ac:dyDescent="0.25">
      <c r="A19" s="218" t="s">
        <v>259</v>
      </c>
      <c r="B19" s="218"/>
      <c r="C19" s="218"/>
      <c r="D19" s="218"/>
      <c r="E19" s="218"/>
      <c r="F19" s="106"/>
    </row>
    <row r="20" spans="1:6" ht="40.5" customHeight="1" x14ac:dyDescent="0.25">
      <c r="A20" s="177" t="s">
        <v>253</v>
      </c>
      <c r="B20" s="177"/>
      <c r="C20" s="177"/>
      <c r="D20" s="177"/>
      <c r="E20" s="177"/>
      <c r="F20" s="104">
        <f>SUM(F15:F19)</f>
        <v>203917</v>
      </c>
    </row>
    <row r="22" spans="1:6" ht="40.5" customHeight="1" x14ac:dyDescent="0.25">
      <c r="A22" s="177" t="s">
        <v>260</v>
      </c>
      <c r="B22" s="177"/>
      <c r="C22" s="177"/>
      <c r="D22" s="177"/>
      <c r="E22" s="177"/>
      <c r="F22" s="177"/>
    </row>
  </sheetData>
  <mergeCells count="15">
    <mergeCell ref="A11:E11"/>
    <mergeCell ref="A20:E20"/>
    <mergeCell ref="A22:F22"/>
    <mergeCell ref="A13:E13"/>
    <mergeCell ref="A15:E15"/>
    <mergeCell ref="A16:E16"/>
    <mergeCell ref="A17:E17"/>
    <mergeCell ref="A18:E18"/>
    <mergeCell ref="A19:E19"/>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2015-04-23T00:37:19Z</dcterms:modified>
</cp:coreProperties>
</file>