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5" windowWidth="14115" windowHeight="1170"/>
  </bookViews>
  <sheets>
    <sheet name="Recurso Humano" sheetId="1" r:id="rId1"/>
    <sheet name="Insumos Aseo Cafetería" sheetId="2" r:id="rId2"/>
    <sheet name="Servicio Fumigación" sheetId="3" r:id="rId3"/>
    <sheet name="Equipos y Elementos Mínimos" sheetId="4" r:id="rId4"/>
    <sheet name="Lavada Vidrios" sheetId="5" r:id="rId5"/>
    <sheet name="VLR TOTAL PROPUESTA" sheetId="6" r:id="rId6"/>
  </sheets>
  <calcPr calcId="145621"/>
</workbook>
</file>

<file path=xl/calcChain.xml><?xml version="1.0" encoding="utf-8"?>
<calcChain xmlns="http://schemas.openxmlformats.org/spreadsheetml/2006/main">
  <c r="Q26" i="4" l="1"/>
  <c r="Y21" i="4"/>
  <c r="M23" i="4"/>
  <c r="I8" i="3"/>
  <c r="I15" i="3"/>
  <c r="AC6" i="4" l="1"/>
  <c r="AC19" i="4"/>
  <c r="AB19" i="4"/>
  <c r="AB16" i="4"/>
  <c r="AC16" i="4" s="1"/>
  <c r="AB7" i="4"/>
  <c r="AC7" i="4" s="1"/>
  <c r="AB6" i="4"/>
  <c r="Y19" i="4"/>
  <c r="Y16" i="4"/>
  <c r="Y7" i="4"/>
  <c r="Y6" i="4"/>
  <c r="T19" i="4"/>
  <c r="U19" i="4" s="1"/>
  <c r="T16" i="4"/>
  <c r="U16" i="4" s="1"/>
  <c r="T10" i="4"/>
  <c r="U10" i="4" s="1"/>
  <c r="T9" i="4"/>
  <c r="U9" i="4" s="1"/>
  <c r="T7" i="4"/>
  <c r="U7" i="4" s="1"/>
  <c r="T6" i="4"/>
  <c r="U6" i="4" s="1"/>
  <c r="Q16" i="4"/>
  <c r="P19" i="4"/>
  <c r="Q19" i="4" s="1"/>
  <c r="P16" i="4"/>
  <c r="P9" i="4"/>
  <c r="Q9" i="4" s="1"/>
  <c r="P7" i="4"/>
  <c r="Q7" i="4" s="1"/>
  <c r="P6" i="4"/>
  <c r="Q6" i="4" s="1"/>
  <c r="L7" i="4"/>
  <c r="M7" i="4" s="1"/>
  <c r="L9" i="4"/>
  <c r="M9" i="4" s="1"/>
  <c r="L10" i="4"/>
  <c r="M10" i="4" s="1"/>
  <c r="L16" i="4"/>
  <c r="M16" i="4" s="1"/>
  <c r="L19" i="4"/>
  <c r="M19" i="4" s="1"/>
  <c r="L6" i="4"/>
  <c r="M6" i="4" s="1"/>
  <c r="H7" i="4"/>
  <c r="I7" i="4" s="1"/>
  <c r="H9" i="4"/>
  <c r="I9" i="4" s="1"/>
  <c r="H10" i="4"/>
  <c r="I10" i="4" s="1"/>
  <c r="H16" i="4"/>
  <c r="I16" i="4" s="1"/>
  <c r="H19" i="4"/>
  <c r="I19" i="4" s="1"/>
  <c r="H6" i="4"/>
  <c r="I6" i="4" s="1"/>
  <c r="G3" i="5"/>
  <c r="K3" i="5" s="1"/>
  <c r="L3" i="5" s="1"/>
  <c r="M3" i="5" s="1"/>
  <c r="D3" i="5"/>
  <c r="E3" i="5" s="1"/>
  <c r="D4" i="4"/>
  <c r="E4" i="4" s="1"/>
  <c r="D5" i="4"/>
  <c r="E5" i="4" s="1"/>
  <c r="D6" i="4"/>
  <c r="E6" i="4" s="1"/>
  <c r="D7" i="4"/>
  <c r="E7" i="4" s="1"/>
  <c r="D8" i="4"/>
  <c r="E8" i="4" s="1"/>
  <c r="D9" i="4"/>
  <c r="E9" i="4" s="1"/>
  <c r="D10" i="4"/>
  <c r="E10" i="4" s="1"/>
  <c r="D11" i="4"/>
  <c r="E11" i="4" s="1"/>
  <c r="D12" i="4"/>
  <c r="E12" i="4" s="1"/>
  <c r="D13" i="4"/>
  <c r="E13" i="4" s="1"/>
  <c r="D14" i="4"/>
  <c r="E14" i="4" s="1"/>
  <c r="D15" i="4"/>
  <c r="E15" i="4" s="1"/>
  <c r="D16" i="4"/>
  <c r="E16" i="4" s="1"/>
  <c r="D17" i="4"/>
  <c r="E17" i="4" s="1"/>
  <c r="D18" i="4"/>
  <c r="E18" i="4" s="1"/>
  <c r="D19" i="4"/>
  <c r="E19" i="4" s="1"/>
  <c r="D20" i="4"/>
  <c r="E20" i="4" s="1"/>
  <c r="D3" i="4"/>
  <c r="E3" i="4" s="1"/>
  <c r="K5" i="3"/>
  <c r="L5" i="3" s="1"/>
  <c r="M5" i="3" s="1"/>
  <c r="K6" i="3"/>
  <c r="L6" i="3" s="1"/>
  <c r="M6" i="3" s="1"/>
  <c r="K7" i="3"/>
  <c r="O7" i="3" s="1"/>
  <c r="K8" i="3"/>
  <c r="K9" i="3"/>
  <c r="L9" i="3" s="1"/>
  <c r="M9" i="3" s="1"/>
  <c r="K10" i="3"/>
  <c r="O10" i="3" s="1"/>
  <c r="Q10" i="3" s="1"/>
  <c r="K11" i="3"/>
  <c r="O11" i="3" s="1"/>
  <c r="Q11" i="3" s="1"/>
  <c r="K12" i="3"/>
  <c r="O12" i="3" s="1"/>
  <c r="Q12" i="3" s="1"/>
  <c r="K13" i="3"/>
  <c r="O13" i="3" s="1"/>
  <c r="Q13" i="3" s="1"/>
  <c r="K14" i="3"/>
  <c r="O14" i="3" s="1"/>
  <c r="Q14" i="3" s="1"/>
  <c r="K15" i="3"/>
  <c r="K16" i="3"/>
  <c r="L16" i="3" s="1"/>
  <c r="M16" i="3" s="1"/>
  <c r="K17" i="3"/>
  <c r="L17" i="3" s="1"/>
  <c r="M17" i="3" s="1"/>
  <c r="K18" i="3"/>
  <c r="L18" i="3" s="1"/>
  <c r="M18" i="3" s="1"/>
  <c r="K19" i="3"/>
  <c r="O19" i="3" s="1"/>
  <c r="Q19" i="3" s="1"/>
  <c r="K20" i="3"/>
  <c r="L20" i="3" s="1"/>
  <c r="M20" i="3" s="1"/>
  <c r="K21" i="3"/>
  <c r="O21" i="3" s="1"/>
  <c r="Q21" i="3" s="1"/>
  <c r="K22" i="3"/>
  <c r="L22" i="3" s="1"/>
  <c r="M22" i="3" s="1"/>
  <c r="K23" i="3"/>
  <c r="O23" i="3" s="1"/>
  <c r="Q23" i="3" s="1"/>
  <c r="K24" i="3"/>
  <c r="L24" i="3" s="1"/>
  <c r="M24" i="3" s="1"/>
  <c r="K25" i="3"/>
  <c r="O25" i="3" s="1"/>
  <c r="Q25" i="3" s="1"/>
  <c r="K26" i="3"/>
  <c r="O26" i="3" s="1"/>
  <c r="Q26" i="3" s="1"/>
  <c r="K27" i="3"/>
  <c r="O27" i="3" s="1"/>
  <c r="Q27" i="3" s="1"/>
  <c r="K28" i="3"/>
  <c r="L28" i="3" s="1"/>
  <c r="M28" i="3" s="1"/>
  <c r="K29" i="3"/>
  <c r="L29" i="3" s="1"/>
  <c r="M29" i="3" s="1"/>
  <c r="K30" i="3"/>
  <c r="O30" i="3" s="1"/>
  <c r="Q30" i="3" s="1"/>
  <c r="K31" i="3"/>
  <c r="O31" i="3" s="1"/>
  <c r="Q31" i="3" s="1"/>
  <c r="K32" i="3"/>
  <c r="L32" i="3" s="1"/>
  <c r="M32" i="3" s="1"/>
  <c r="K33" i="3"/>
  <c r="L33" i="3" s="1"/>
  <c r="M33" i="3" s="1"/>
  <c r="K34" i="3"/>
  <c r="L34" i="3" s="1"/>
  <c r="M34" i="3" s="1"/>
  <c r="K35" i="3"/>
  <c r="O35" i="3" s="1"/>
  <c r="Q35" i="3" s="1"/>
  <c r="K36" i="3"/>
  <c r="L36" i="3" s="1"/>
  <c r="M36" i="3" s="1"/>
  <c r="K37" i="3"/>
  <c r="O37" i="3" s="1"/>
  <c r="Q37" i="3" s="1"/>
  <c r="K38" i="3"/>
  <c r="L38" i="3" s="1"/>
  <c r="M38" i="3" s="1"/>
  <c r="K39" i="3"/>
  <c r="O39" i="3" s="1"/>
  <c r="K40" i="3"/>
  <c r="L40" i="3" s="1"/>
  <c r="M40" i="3" s="1"/>
  <c r="K41" i="3"/>
  <c r="O41" i="3" s="1"/>
  <c r="Q41" i="3" s="1"/>
  <c r="K42" i="3"/>
  <c r="O42" i="3" s="1"/>
  <c r="Q42" i="3" s="1"/>
  <c r="K43" i="3"/>
  <c r="O43" i="3" s="1"/>
  <c r="P43" i="3" s="1"/>
  <c r="Q43" i="3" s="1"/>
  <c r="K4" i="3"/>
  <c r="L4" i="3" s="1"/>
  <c r="M4" i="3" s="1"/>
  <c r="L7" i="3"/>
  <c r="M7" i="3" s="1"/>
  <c r="L11" i="3"/>
  <c r="M11" i="3" s="1"/>
  <c r="L14" i="3"/>
  <c r="M14" i="3" s="1"/>
  <c r="L23" i="3"/>
  <c r="M23" i="3" s="1"/>
  <c r="L26" i="3"/>
  <c r="M26" i="3" s="1"/>
  <c r="L27" i="3"/>
  <c r="M27" i="3" s="1"/>
  <c r="L31" i="3"/>
  <c r="M31" i="3" s="1"/>
  <c r="L35" i="3"/>
  <c r="M35" i="3" s="1"/>
  <c r="L39" i="3"/>
  <c r="M39" i="3" s="1"/>
  <c r="H3" i="5" l="1"/>
  <c r="I3" i="5" s="1"/>
  <c r="J5" i="5" s="1"/>
  <c r="Q21" i="4"/>
  <c r="Q22" i="4" s="1"/>
  <c r="Q23" i="4" s="1"/>
  <c r="I21" i="4"/>
  <c r="I22" i="4" s="1"/>
  <c r="I23" i="4" s="1"/>
  <c r="I24" i="4" s="1"/>
  <c r="P39" i="3"/>
  <c r="Q39" i="3"/>
  <c r="O15" i="3"/>
  <c r="Q15" i="3" s="1"/>
  <c r="M15" i="3"/>
  <c r="P7" i="3"/>
  <c r="Q7" i="3"/>
  <c r="O8" i="3"/>
  <c r="Q8" i="3" s="1"/>
  <c r="M8" i="3"/>
  <c r="L12" i="3"/>
  <c r="M12" i="3" s="1"/>
  <c r="AC21" i="4"/>
  <c r="AC22" i="4" s="1"/>
  <c r="AC23" i="4" s="1"/>
  <c r="AC24" i="4" s="1"/>
  <c r="U21" i="4"/>
  <c r="U22" i="4" s="1"/>
  <c r="U23" i="4" s="1"/>
  <c r="U24" i="4" s="1"/>
  <c r="M21" i="4"/>
  <c r="M22" i="4" s="1"/>
  <c r="M24" i="4" s="1"/>
  <c r="E21" i="4"/>
  <c r="L42" i="3"/>
  <c r="M42" i="3" s="1"/>
  <c r="L30" i="3"/>
  <c r="M30" i="3" s="1"/>
  <c r="L19" i="3"/>
  <c r="M19" i="3" s="1"/>
  <c r="L10" i="3"/>
  <c r="M10" i="3" s="1"/>
  <c r="L43" i="3"/>
  <c r="M43" i="3" s="1"/>
  <c r="L41" i="3"/>
  <c r="M41" i="3" s="1"/>
  <c r="O22" i="3"/>
  <c r="O38" i="3"/>
  <c r="O6" i="3"/>
  <c r="L25" i="3"/>
  <c r="M25" i="3" s="1"/>
  <c r="P42" i="3"/>
  <c r="P26" i="3"/>
  <c r="P10" i="3"/>
  <c r="P41" i="3"/>
  <c r="P37" i="3"/>
  <c r="P25" i="3"/>
  <c r="P21" i="3"/>
  <c r="P13" i="3"/>
  <c r="O33" i="3"/>
  <c r="O17" i="3"/>
  <c r="Q17" i="3" s="1"/>
  <c r="O9" i="3"/>
  <c r="Q9" i="3" s="1"/>
  <c r="L13" i="3"/>
  <c r="M13" i="3" s="1"/>
  <c r="P14" i="3"/>
  <c r="P30" i="3"/>
  <c r="L37" i="3"/>
  <c r="M37" i="3" s="1"/>
  <c r="L21" i="3"/>
  <c r="M21" i="3" s="1"/>
  <c r="P35" i="3"/>
  <c r="P31" i="3"/>
  <c r="P27" i="3"/>
  <c r="P23" i="3"/>
  <c r="P19" i="3"/>
  <c r="P11" i="3"/>
  <c r="O29" i="3"/>
  <c r="Q29" i="3" s="1"/>
  <c r="O5" i="3"/>
  <c r="Q5" i="3" s="1"/>
  <c r="P12" i="3"/>
  <c r="O34" i="3"/>
  <c r="Q34" i="3" s="1"/>
  <c r="O18" i="3"/>
  <c r="Q18" i="3" s="1"/>
  <c r="O4" i="3"/>
  <c r="Q4" i="3" s="1"/>
  <c r="O40" i="3"/>
  <c r="Q40" i="3" s="1"/>
  <c r="O36" i="3"/>
  <c r="Q36" i="3" s="1"/>
  <c r="O32" i="3"/>
  <c r="Q32" i="3" s="1"/>
  <c r="O28" i="3"/>
  <c r="Q28" i="3" s="1"/>
  <c r="O24" i="3"/>
  <c r="Q24" i="3" s="1"/>
  <c r="O20" i="3"/>
  <c r="Q20" i="3" s="1"/>
  <c r="O16" i="3"/>
  <c r="Q16" i="3" s="1"/>
  <c r="M44" i="3" l="1"/>
  <c r="P38" i="3"/>
  <c r="Q38" i="3"/>
  <c r="P22" i="3"/>
  <c r="Q22" i="3"/>
  <c r="P6" i="3"/>
  <c r="Q6" i="3"/>
  <c r="Q24" i="4"/>
  <c r="E22" i="4"/>
  <c r="E23" i="4" s="1"/>
  <c r="P24" i="3"/>
  <c r="P40" i="3"/>
  <c r="P17" i="3"/>
  <c r="P28" i="3"/>
  <c r="P4" i="3"/>
  <c r="P33" i="3"/>
  <c r="Q33" i="3" s="1"/>
  <c r="P16" i="3"/>
  <c r="P32" i="3"/>
  <c r="P18" i="3"/>
  <c r="P5" i="3"/>
  <c r="P20" i="3"/>
  <c r="P36" i="3"/>
  <c r="P34" i="3"/>
  <c r="P29" i="3"/>
  <c r="P9" i="3"/>
  <c r="H43" i="3"/>
  <c r="I43" i="3" s="1"/>
  <c r="H42" i="3"/>
  <c r="I42" i="3" s="1"/>
  <c r="H41" i="3"/>
  <c r="I41" i="3" s="1"/>
  <c r="H40" i="3"/>
  <c r="I40" i="3" s="1"/>
  <c r="H39" i="3"/>
  <c r="I39" i="3" s="1"/>
  <c r="H38" i="3"/>
  <c r="I38" i="3" s="1"/>
  <c r="H37" i="3"/>
  <c r="I37" i="3" s="1"/>
  <c r="H36" i="3"/>
  <c r="I36" i="3" s="1"/>
  <c r="H35" i="3"/>
  <c r="I35" i="3" s="1"/>
  <c r="H34" i="3"/>
  <c r="I34" i="3" s="1"/>
  <c r="H33" i="3"/>
  <c r="I33" i="3" s="1"/>
  <c r="H32" i="3"/>
  <c r="I32" i="3" s="1"/>
  <c r="H31" i="3"/>
  <c r="I31" i="3" s="1"/>
  <c r="H30" i="3"/>
  <c r="I30" i="3" s="1"/>
  <c r="H29" i="3"/>
  <c r="I29" i="3" s="1"/>
  <c r="H28" i="3"/>
  <c r="I28" i="3" s="1"/>
  <c r="H27" i="3"/>
  <c r="I27" i="3" s="1"/>
  <c r="H26" i="3"/>
  <c r="I26" i="3" s="1"/>
  <c r="H25" i="3"/>
  <c r="I25" i="3" s="1"/>
  <c r="H24" i="3"/>
  <c r="I24" i="3" s="1"/>
  <c r="H23" i="3"/>
  <c r="I23" i="3" s="1"/>
  <c r="H22" i="3"/>
  <c r="I22" i="3" s="1"/>
  <c r="H21" i="3"/>
  <c r="I21" i="3" s="1"/>
  <c r="H20" i="3"/>
  <c r="I20" i="3" s="1"/>
  <c r="H19" i="3"/>
  <c r="I19" i="3" s="1"/>
  <c r="H18" i="3"/>
  <c r="I18" i="3" s="1"/>
  <c r="H17" i="3"/>
  <c r="I17" i="3" s="1"/>
  <c r="H16" i="3"/>
  <c r="I16" i="3" s="1"/>
  <c r="H14" i="3"/>
  <c r="I14" i="3" s="1"/>
  <c r="H13" i="3"/>
  <c r="I13" i="3" s="1"/>
  <c r="H12" i="3"/>
  <c r="I12" i="3" s="1"/>
  <c r="H11" i="3"/>
  <c r="I11" i="3" s="1"/>
  <c r="H10" i="3"/>
  <c r="I10" i="3" s="1"/>
  <c r="H9" i="3"/>
  <c r="I9" i="3" s="1"/>
  <c r="H7" i="3"/>
  <c r="I7" i="3" s="1"/>
  <c r="H6" i="3"/>
  <c r="I6" i="3" s="1"/>
  <c r="H5" i="3"/>
  <c r="I5" i="3" s="1"/>
  <c r="H4" i="3"/>
  <c r="I4" i="3" s="1"/>
  <c r="H75" i="1"/>
  <c r="H78" i="1" s="1"/>
  <c r="E68" i="1"/>
  <c r="F68" i="1" s="1"/>
  <c r="G68" i="1" s="1"/>
  <c r="H68" i="1" s="1"/>
  <c r="F60" i="1"/>
  <c r="G60" i="1" s="1"/>
  <c r="H60" i="1" s="1"/>
  <c r="F59" i="1"/>
  <c r="G59" i="1" s="1"/>
  <c r="H59" i="1" s="1"/>
  <c r="E64" i="1"/>
  <c r="F64" i="1" s="1"/>
  <c r="E63" i="1"/>
  <c r="F63" i="1" s="1"/>
  <c r="E62" i="1"/>
  <c r="F62" i="1" s="1"/>
  <c r="E61" i="1"/>
  <c r="E67" i="1" s="1"/>
  <c r="F67" i="1" s="1"/>
  <c r="E57" i="1"/>
  <c r="F57" i="1"/>
  <c r="F49" i="1"/>
  <c r="F48" i="1"/>
  <c r="E53" i="1"/>
  <c r="F53" i="1" s="1"/>
  <c r="E52" i="1"/>
  <c r="F52" i="1" s="1"/>
  <c r="E51" i="1"/>
  <c r="F51" i="1" s="1"/>
  <c r="G51" i="1" s="1"/>
  <c r="H51" i="1" s="1"/>
  <c r="E50" i="1"/>
  <c r="E54" i="1" s="1"/>
  <c r="F54" i="1" s="1"/>
  <c r="G54" i="1" s="1"/>
  <c r="H54" i="1" s="1"/>
  <c r="E42" i="1"/>
  <c r="F38" i="1"/>
  <c r="F37" i="1"/>
  <c r="E46" i="1"/>
  <c r="F46" i="1" s="1"/>
  <c r="G46" i="1" s="1"/>
  <c r="E41" i="1"/>
  <c r="E40" i="1"/>
  <c r="F40" i="1" s="1"/>
  <c r="G40" i="1" s="1"/>
  <c r="H40" i="1" s="1"/>
  <c r="E39" i="1"/>
  <c r="E43" i="1" s="1"/>
  <c r="F43" i="1" s="1"/>
  <c r="G43" i="1" s="1"/>
  <c r="F27" i="1"/>
  <c r="H27" i="1" s="1"/>
  <c r="F29" i="1"/>
  <c r="H29" i="1" s="1"/>
  <c r="F30" i="1"/>
  <c r="H30" i="1" s="1"/>
  <c r="F31" i="1"/>
  <c r="H31" i="1" s="1"/>
  <c r="F32" i="1"/>
  <c r="H32" i="1" s="1"/>
  <c r="F33" i="1"/>
  <c r="H33" i="1" s="1"/>
  <c r="F34" i="1"/>
  <c r="H34" i="1" s="1"/>
  <c r="F35" i="1"/>
  <c r="H35" i="1" s="1"/>
  <c r="F26" i="1"/>
  <c r="H26" i="1" s="1"/>
  <c r="E28" i="1"/>
  <c r="F28" i="1" s="1"/>
  <c r="H28" i="1" s="1"/>
  <c r="E20" i="1"/>
  <c r="F20" i="1" s="1"/>
  <c r="G20" i="1" s="1"/>
  <c r="H20" i="1" s="1"/>
  <c r="E19" i="1"/>
  <c r="F19" i="1" s="1"/>
  <c r="G19" i="1" s="1"/>
  <c r="H19" i="1" s="1"/>
  <c r="E18" i="1"/>
  <c r="F18" i="1" s="1"/>
  <c r="G18" i="1" s="1"/>
  <c r="H18" i="1" s="1"/>
  <c r="E17" i="1"/>
  <c r="F17" i="1" s="1"/>
  <c r="G17" i="1" s="1"/>
  <c r="H17" i="1" s="1"/>
  <c r="F16" i="1"/>
  <c r="G16" i="1" s="1"/>
  <c r="F15" i="1"/>
  <c r="E24" i="1"/>
  <c r="F24" i="1" s="1"/>
  <c r="G24" i="1" s="1"/>
  <c r="H24" i="1" s="1"/>
  <c r="E13" i="1"/>
  <c r="E9" i="1"/>
  <c r="E8" i="1"/>
  <c r="E7" i="1"/>
  <c r="E6" i="1"/>
  <c r="E12" i="1" s="1"/>
  <c r="E24" i="4" l="1"/>
  <c r="Q44" i="3"/>
  <c r="I44" i="3"/>
  <c r="F61" i="1"/>
  <c r="G61" i="1" s="1"/>
  <c r="H61" i="1" s="1"/>
  <c r="F50" i="1"/>
  <c r="G50" i="1" s="1"/>
  <c r="H50" i="1" s="1"/>
  <c r="E65" i="1"/>
  <c r="F65" i="1" s="1"/>
  <c r="G65" i="1" s="1"/>
  <c r="E66" i="1"/>
  <c r="F66" i="1" s="1"/>
  <c r="G66" i="1" s="1"/>
  <c r="H66" i="1" s="1"/>
  <c r="G64" i="1"/>
  <c r="H64" i="1" s="1"/>
  <c r="G62" i="1"/>
  <c r="H62" i="1" s="1"/>
  <c r="G63" i="1"/>
  <c r="H63" i="1" s="1"/>
  <c r="G67" i="1"/>
  <c r="H67" i="1" s="1"/>
  <c r="G49" i="1"/>
  <c r="H49" i="1" s="1"/>
  <c r="G53" i="1"/>
  <c r="H53" i="1" s="1"/>
  <c r="G57" i="1"/>
  <c r="H57" i="1" s="1"/>
  <c r="G48" i="1"/>
  <c r="H48" i="1" s="1"/>
  <c r="G52" i="1"/>
  <c r="H52" i="1" s="1"/>
  <c r="E44" i="1"/>
  <c r="F44" i="1" s="1"/>
  <c r="G44" i="1" s="1"/>
  <c r="H43" i="1"/>
  <c r="H46" i="1"/>
  <c r="F41" i="1"/>
  <c r="G41" i="1" s="1"/>
  <c r="G37" i="1"/>
  <c r="H37" i="1" s="1"/>
  <c r="G38" i="1"/>
  <c r="H38" i="1" s="1"/>
  <c r="E55" i="1"/>
  <c r="F55" i="1" s="1"/>
  <c r="G55" i="1" s="1"/>
  <c r="H55" i="1" s="1"/>
  <c r="E45" i="1"/>
  <c r="E56" i="1"/>
  <c r="F56" i="1" s="1"/>
  <c r="G56" i="1" s="1"/>
  <c r="H56" i="1" s="1"/>
  <c r="F39" i="1"/>
  <c r="F42" i="1"/>
  <c r="G42" i="1" s="1"/>
  <c r="H36" i="1"/>
  <c r="G15" i="1"/>
  <c r="H15" i="1" s="1"/>
  <c r="H16" i="1"/>
  <c r="E23" i="1"/>
  <c r="F23" i="1" s="1"/>
  <c r="G23" i="1" s="1"/>
  <c r="H23" i="1" s="1"/>
  <c r="E21" i="1"/>
  <c r="F21" i="1" s="1"/>
  <c r="G21" i="1" s="1"/>
  <c r="H21" i="1" s="1"/>
  <c r="E22" i="1"/>
  <c r="F22" i="1" s="1"/>
  <c r="G22" i="1" s="1"/>
  <c r="H22" i="1" s="1"/>
  <c r="E10" i="1"/>
  <c r="F10" i="1" s="1"/>
  <c r="G10" i="1" s="1"/>
  <c r="H10" i="1" s="1"/>
  <c r="E11" i="1"/>
  <c r="F11" i="1" s="1"/>
  <c r="F5" i="1"/>
  <c r="F6" i="1"/>
  <c r="G6" i="1" s="1"/>
  <c r="H6" i="1" s="1"/>
  <c r="F7" i="1"/>
  <c r="F8" i="1"/>
  <c r="F9" i="1"/>
  <c r="F12" i="1"/>
  <c r="F13" i="1"/>
  <c r="G13" i="1" s="1"/>
  <c r="H13" i="1" s="1"/>
  <c r="F4" i="1"/>
  <c r="G4" i="1" s="1"/>
  <c r="K46" i="3" l="1"/>
  <c r="H58" i="1"/>
  <c r="H25" i="1"/>
  <c r="H65" i="1"/>
  <c r="H69" i="1" s="1"/>
  <c r="H44" i="1"/>
  <c r="H41" i="1"/>
  <c r="G39" i="1"/>
  <c r="H39" i="1" s="1"/>
  <c r="F45" i="1"/>
  <c r="G45" i="1" s="1"/>
  <c r="H42" i="1"/>
  <c r="H4" i="1"/>
  <c r="G12" i="1"/>
  <c r="H12" i="1" s="1"/>
  <c r="G11" i="1"/>
  <c r="H11" i="1" s="1"/>
  <c r="G9" i="1"/>
  <c r="H9" i="1" s="1"/>
  <c r="G8" i="1"/>
  <c r="H8" i="1" s="1"/>
  <c r="G7" i="1"/>
  <c r="H7" i="1" s="1"/>
  <c r="G5" i="1"/>
  <c r="H5" i="1" s="1"/>
  <c r="H70" i="1" s="1"/>
  <c r="H73" i="1" s="1"/>
  <c r="H76" i="1" s="1"/>
  <c r="H14" i="1" l="1"/>
  <c r="H45" i="1"/>
  <c r="H71" i="1" s="1"/>
  <c r="H47" i="1" l="1"/>
  <c r="H74" i="1"/>
  <c r="H77" i="1" s="1"/>
  <c r="H79" i="1" l="1"/>
  <c r="Y22" i="4" l="1"/>
  <c r="Y23" i="4" s="1"/>
  <c r="Y24" i="4" l="1"/>
</calcChain>
</file>

<file path=xl/sharedStrings.xml><?xml version="1.0" encoding="utf-8"?>
<sst xmlns="http://schemas.openxmlformats.org/spreadsheetml/2006/main" count="473" uniqueCount="233">
  <si>
    <t>RECURSO HUMANO</t>
  </si>
  <si>
    <t>Supervisor</t>
  </si>
  <si>
    <t>Descripción</t>
  </si>
  <si>
    <t>Subtotal</t>
  </si>
  <si>
    <t xml:space="preserve">8.33% </t>
  </si>
  <si>
    <t>8.33%</t>
  </si>
  <si>
    <t xml:space="preserve">4.17% </t>
  </si>
  <si>
    <t>Operaria Aseo Tiempo Completo</t>
  </si>
  <si>
    <t>Cantidad</t>
  </si>
  <si>
    <t>Operaria Aseo medio Tiempo</t>
  </si>
  <si>
    <t>SUBTOTAL</t>
  </si>
  <si>
    <t>Oficial Mantenimiento</t>
  </si>
  <si>
    <t>Auxiliar Mantenimiento</t>
  </si>
  <si>
    <r>
      <t>A.</t>
    </r>
    <r>
      <rPr>
        <sz val="10"/>
        <color rgb="FF000000"/>
        <rFont val="Arial Narrow"/>
        <family val="2"/>
      </rPr>
      <t xml:space="preserve"> Básico</t>
    </r>
  </si>
  <si>
    <r>
      <t>B.</t>
    </r>
    <r>
      <rPr>
        <sz val="10"/>
        <color rgb="FF000000"/>
        <rFont val="Arial Narrow"/>
        <family val="2"/>
      </rPr>
      <t xml:space="preserve"> Subsidio Transporte</t>
    </r>
  </si>
  <si>
    <r>
      <t xml:space="preserve">C. </t>
    </r>
    <r>
      <rPr>
        <sz val="10"/>
        <color rgb="FF000000"/>
        <rFont val="Arial Narrow"/>
        <family val="2"/>
      </rPr>
      <t>Pensión</t>
    </r>
  </si>
  <si>
    <r>
      <t>D.</t>
    </r>
    <r>
      <rPr>
        <sz val="10"/>
        <color rgb="FF000000"/>
        <rFont val="Arial Narrow"/>
        <family val="2"/>
      </rPr>
      <t xml:space="preserve"> ARL</t>
    </r>
  </si>
  <si>
    <r>
      <t>E.</t>
    </r>
    <r>
      <rPr>
        <sz val="10"/>
        <color rgb="FF000000"/>
        <rFont val="Arial Narrow"/>
        <family val="2"/>
      </rPr>
      <t xml:space="preserve"> Cajas de Compensación</t>
    </r>
  </si>
  <si>
    <r>
      <t>F.</t>
    </r>
    <r>
      <rPr>
        <sz val="10"/>
        <color rgb="FF000000"/>
        <rFont val="Arial Narrow"/>
        <family val="2"/>
      </rPr>
      <t xml:space="preserve"> Cesantías</t>
    </r>
  </si>
  <si>
    <r>
      <t>G.</t>
    </r>
    <r>
      <rPr>
        <sz val="10"/>
        <color rgb="FF000000"/>
        <rFont val="Arial Narrow"/>
        <family val="2"/>
      </rPr>
      <t xml:space="preserve"> Intereses</t>
    </r>
  </si>
  <si>
    <r>
      <t xml:space="preserve">H. </t>
    </r>
    <r>
      <rPr>
        <sz val="10"/>
        <color rgb="FF000000"/>
        <rFont val="Arial Narrow"/>
        <family val="2"/>
      </rPr>
      <t>Prima de servicios</t>
    </r>
  </si>
  <si>
    <r>
      <t xml:space="preserve">I. </t>
    </r>
    <r>
      <rPr>
        <sz val="10"/>
        <color rgb="FF000000"/>
        <rFont val="Arial Narrow"/>
        <family val="2"/>
      </rPr>
      <t>Vacaciones</t>
    </r>
  </si>
  <si>
    <r>
      <t xml:space="preserve">Operaria Aseo medio Tiempo Punto de Atención San Andrés 
</t>
    </r>
    <r>
      <rPr>
        <sz val="10"/>
        <color rgb="FF000000"/>
        <rFont val="Arial Narrow"/>
        <family val="2"/>
      </rPr>
      <t xml:space="preserve">* Si para el momento del cierre del proceso se ha expedido norma legal por medio de la cual se declare excluído del régimen del IVA a otro municipio y/o departamento, el proponente deberá aumentar la disminuir y/o aumentar la cantidad de operarias, de acuerdo al tipo de servicio requerido por el ICETEX (tiempo completo, medio tiempo, auxiliar, oficial)
</t>
    </r>
  </si>
  <si>
    <t>VALOR 01 DE ENERO DE 2017 AL 01 DE MAYO DE 2017 (Incremento del 2,77% para el subsidio de transporte)</t>
  </si>
  <si>
    <t>VALOR 01 DE ENERO DE 2017 AL 01 DE MAYO DE 2017 (Incremento del 4,66% para básico, pensión, ARL, cajas de compensación, cesantías, intereses, prima de servicios, vacaciones)</t>
  </si>
  <si>
    <t>VALOR 1 DE ENERO AL 31 DE DICIEMBRE DE 2016 (Incremento del 4,66% para básico, pensión, ARL, cajas de compensación, cesantías, intereses, prima de servicios, vacaciones)</t>
  </si>
  <si>
    <t>VALOR 01 DE ENERO AL 31 DE DICIEMBRE DE 2016 (Incremento del 2,77% para el subsidio de transporte)</t>
  </si>
  <si>
    <t>VALOR 01 MAYO AL 31 DE DICIEMBRE DE 2015 por concepto de subsidio de transporte</t>
  </si>
  <si>
    <t>VALOR 01 MAYO AL 31 DE DICIEMBRE DE 2015 por concepto de subsidio de básico, pensión, ARL, cajas de compensación, cesantías, intereses, prima de servicios, vacaciones.</t>
  </si>
  <si>
    <t>Descripción General</t>
  </si>
  <si>
    <t>Vlr Bruto Mensual</t>
  </si>
  <si>
    <t xml:space="preserve">Suministro de Insumos de Aseo y Cafetería Sede Central (Bogotá)
NOTA: El proponente debe igualmente diligenciar el ANEXO No. 17 para desarrollar el numeral 2. Insumos de Aseo y Cafetería del ANEXO No. 10 PROPUESTA ECONÓMICA.  </t>
  </si>
  <si>
    <t xml:space="preserve">Suministro de Insumos de Aseo y Cafetería a todas ciudades a excepción de Bogotá y Archipiélago de San Andrés. 
NOTA: El proponente debe igualmente diligenciar el ANEXO No. 17 para desarrollar el numeral 2. Insumos de Aseo y Cafetería del ANEXO No. 10 PROPUESTA ECONÓMICA.   </t>
  </si>
  <si>
    <t xml:space="preserve">Suministro de Insumos de Aseo y Cafetería a punto de atención del Archipielago de San Andrés Islas. 
NOTA 1: El proponente debe igualmente diligenciar el ANEXO No. 17 para desarrollar el numeral 2. Insumos de Aseo y Cafetería del ANEXO No. 10 PROPUESTA ECONÓMICA.   
NOTA 2: Si para el momento del cierre del proceso se ha expedido norma legal por medio de la cual se declare excluído del régimen del IVA a otro municipio y/o departamento, el proponente deberá incluir dentro de este campo el valor neto correspondiente a dicho municipio y/o departamento. </t>
  </si>
  <si>
    <t xml:space="preserve">DESCRIPCIÓN GENERAL </t>
  </si>
  <si>
    <t>Departamento</t>
  </si>
  <si>
    <t>Municipio</t>
  </si>
  <si>
    <t>Dirección</t>
  </si>
  <si>
    <t>Tolima</t>
  </si>
  <si>
    <t>Ibagué</t>
  </si>
  <si>
    <t>Calle 8 No. 3-05.</t>
  </si>
  <si>
    <t>Boyacá</t>
  </si>
  <si>
    <t>Tunja</t>
  </si>
  <si>
    <t>Calle 21 No. 10-32, oficina 301, Edificio Sociedad Boyacense.</t>
  </si>
  <si>
    <t>Meta</t>
  </si>
  <si>
    <t>V/Vicencio</t>
  </si>
  <si>
    <t>Calle 38 No. 30A-64 oficina 401 y 402 edificio Davivienda</t>
  </si>
  <si>
    <t>Huila</t>
  </si>
  <si>
    <t>Neiva</t>
  </si>
  <si>
    <t>Carrera 5 No. 10-38 local 2A  Edificio Condominio Cámara de Comercio.</t>
  </si>
  <si>
    <t>Amazonas</t>
  </si>
  <si>
    <t> Leticia</t>
  </si>
  <si>
    <t>Carrera 11 No. 8-104, Centro Comercial Oporto 9.</t>
  </si>
  <si>
    <t>Atlántico</t>
  </si>
  <si>
    <t>Barranquilla</t>
  </si>
  <si>
    <t>Calle 70 No. 53-74, oficina 301A, piso 3, edificio Centro Financiero.</t>
  </si>
  <si>
    <t>Bolívar</t>
  </si>
  <si>
    <t>Cartagena</t>
  </si>
  <si>
    <t>Carrera 32 No. 9-45, oficina 901 y 902, edificio Banco del Estado.</t>
  </si>
  <si>
    <t>Magdalena</t>
  </si>
  <si>
    <t>Santa Marta</t>
  </si>
  <si>
    <t>Carrera 3 No. 14-16, lozal 102, Edificio de los Bancos.</t>
  </si>
  <si>
    <t>Sucre</t>
  </si>
  <si>
    <t>Sincelejo</t>
  </si>
  <si>
    <t>Calle 23 No. 19-28, local 3, edificio Banco de Colombia.</t>
  </si>
  <si>
    <t>Guajira</t>
  </si>
  <si>
    <t>Riohacha</t>
  </si>
  <si>
    <t>Calle 3 No. 6-11.</t>
  </si>
  <si>
    <t>Córdoba</t>
  </si>
  <si>
    <t>Montería</t>
  </si>
  <si>
    <t>Calle 31 No. 4-47, oficina 509 y 510, edificio Centro de Ejecutivos.</t>
  </si>
  <si>
    <t>Archipiélago de San Andrés Providencia y Santa Catalina</t>
  </si>
  <si>
    <t>San Andrés</t>
  </si>
  <si>
    <t>Sector Point, Avenida Providencia. (contiguo al Centro de Especialistas Sanitas).</t>
  </si>
  <si>
    <t>Santander</t>
  </si>
  <si>
    <t>Bucaramanga</t>
  </si>
  <si>
    <t>Carrera 29 No. 45-45, oficina 703.</t>
  </si>
  <si>
    <t>San Gil</t>
  </si>
  <si>
    <t>Calle 12 No. 9 – 51 Frente al Parque Principal – Alcaldía Municipal</t>
  </si>
  <si>
    <t>Cesar</t>
  </si>
  <si>
    <t>Valledupar</t>
  </si>
  <si>
    <t>Calle 16B No. 12-96, oficina 203, edificio San Martín.</t>
  </si>
  <si>
    <t>Norte de Santander</t>
  </si>
  <si>
    <t xml:space="preserve">Cúcuta </t>
  </si>
  <si>
    <t xml:space="preserve">Calle 9 No. 0 - 136 esquina.     </t>
  </si>
  <si>
    <t> Barrancabermeja</t>
  </si>
  <si>
    <t>Calle 8 No. 50-20, Piso 4, Fase 1. Edificio CPC</t>
  </si>
  <si>
    <t>Representación Casanare</t>
  </si>
  <si>
    <t>Yopal</t>
  </si>
  <si>
    <t>Diagonal 15 No. 15-70, oficina 301, edificio San Miguel.</t>
  </si>
  <si>
    <t>Antioquia</t>
  </si>
  <si>
    <t>Medellín</t>
  </si>
  <si>
    <t>Calle 52 No. 47 - 42, oficina 1002.</t>
  </si>
  <si>
    <t>Risaralda</t>
  </si>
  <si>
    <t>Pereira</t>
  </si>
  <si>
    <t>Calle 19 No. 8-34, piso 4, oficina 401, Edificio Corporación Financiera.</t>
  </si>
  <si>
    <t>Caldas</t>
  </si>
  <si>
    <t>Manizales</t>
  </si>
  <si>
    <t>Calle 23 No. 23-16, piso 3.</t>
  </si>
  <si>
    <t>Chocó</t>
  </si>
  <si>
    <t>Quibdó</t>
  </si>
  <si>
    <t>Calle 24 No. 2-23, oficina 209.</t>
  </si>
  <si>
    <t>Quindío</t>
  </si>
  <si>
    <t>Armenia</t>
  </si>
  <si>
    <t>Calle 21 No. 16-37, oficina 202, edificio Banco Popular.</t>
  </si>
  <si>
    <t>Valle del Cauca</t>
  </si>
  <si>
    <t>Cali</t>
  </si>
  <si>
    <t>Calle 13A No. 100-35, local 4, edificio Torre Empresarial.</t>
  </si>
  <si>
    <t>Nariño</t>
  </si>
  <si>
    <t>Pasto</t>
  </si>
  <si>
    <t>Calle 18 No. 24-29, oficina 302 y 303, edificio Los Andes.</t>
  </si>
  <si>
    <t>Cauca</t>
  </si>
  <si>
    <t>Popayán</t>
  </si>
  <si>
    <t>Carrera. 4 No. 3-62, local 5, Edificio Altozano</t>
  </si>
  <si>
    <t> Putumayo</t>
  </si>
  <si>
    <t>Mocoa</t>
  </si>
  <si>
    <t>Calle 8 No. 7-40, Palacio Departamental de la Gobernación del Putumayo</t>
  </si>
  <si>
    <t>Cundinamarca</t>
  </si>
  <si>
    <t>Bogotá Carrera 3 No. 18-32.</t>
  </si>
  <si>
    <t>Sótano</t>
  </si>
  <si>
    <t>Primer Piso Construido</t>
  </si>
  <si>
    <t>Primer Piso Libre</t>
  </si>
  <si>
    <t>Mezanine</t>
  </si>
  <si>
    <t>Segundo Piso</t>
  </si>
  <si>
    <t>Tercer Piso</t>
  </si>
  <si>
    <t>Cuarto  Piso</t>
  </si>
  <si>
    <t>Quinto Piso</t>
  </si>
  <si>
    <t>Sexto Piso</t>
  </si>
  <si>
    <t>Séptimo Piso</t>
  </si>
  <si>
    <t>Octavo Piso</t>
  </si>
  <si>
    <t>Noveno Piso Construido</t>
  </si>
  <si>
    <t>Noveno Piso Libre</t>
  </si>
  <si>
    <t>Lugar</t>
  </si>
  <si>
    <t>Área Aprox</t>
  </si>
  <si>
    <t>Área Libre</t>
  </si>
  <si>
    <t>Cant  por año</t>
  </si>
  <si>
    <t xml:space="preserve">VALOR 01 DE ENERO AL 31 DE DICIEMBRE DE 2016 (Incremento del 3,66%) </t>
  </si>
  <si>
    <t xml:space="preserve">Cant  </t>
  </si>
  <si>
    <t xml:space="preserve">Cant </t>
  </si>
  <si>
    <t>Vlr Unitario Servicio de Fumigación</t>
  </si>
  <si>
    <t>Vlr Unitario Servicio Fumigación</t>
  </si>
  <si>
    <t>VIGENCIA 01 DE MAYO DE 2015 AL 31 DE DICIEMBRE DE 2015</t>
  </si>
  <si>
    <t>VIGENCIA 01 DE ENERO DE 2016 AL 31 DE DICIEMBRE DE 2016</t>
  </si>
  <si>
    <t>VIGENCIA 01 DE ENERO DE 2017 AL 01 DE MAYO DE 2017</t>
  </si>
  <si>
    <t xml:space="preserve">VALOR 01 DE ENERO AL 01 DE MAYO DE 2017 (Incremento del 3,66%) </t>
  </si>
  <si>
    <t>BOGOTA</t>
  </si>
  <si>
    <t>MEDELLIN</t>
  </si>
  <si>
    <t>BUCARAMANGA</t>
  </si>
  <si>
    <t>CALI</t>
  </si>
  <si>
    <t>BARRANQUILLA</t>
  </si>
  <si>
    <t>Aspiradora Industrial para aspirado en seco</t>
  </si>
  <si>
    <t>No se requiere</t>
  </si>
  <si>
    <t>Kit Básico de Mantenimiento puede incluir:  martillo, hombresolo, llaves de expansión, destornilladores de pala y estrella, juego de copas básico, juego de llaves brístol básico, brocas, pinzas, alicates, flexometro, segueta, llave de tubos, probador eléctrico.</t>
  </si>
  <si>
    <t>Elementos de protección personal y de seguridad industrial (guantes de protección según la actividad a desarrollar, tapabocas, cinturón de seguridad, overol, botas punteras, monogafas, casco, protector de oídos)</t>
  </si>
  <si>
    <t>Para el personal de mantenimiento contratado</t>
  </si>
  <si>
    <t>Suministro de Grecas o Cafeteras: Eléctricas de 110 v, elaborada en lámina de acero inoxidable como mínimo.</t>
  </si>
  <si>
    <t>1 por ciudad</t>
  </si>
  <si>
    <t>Recipientes para envasar agua</t>
  </si>
  <si>
    <t>2 por ciudad</t>
  </si>
  <si>
    <t>Termos tipo push</t>
  </si>
  <si>
    <t>Carro Escurridor</t>
  </si>
  <si>
    <t> No se requiere</t>
  </si>
  <si>
    <t>Carro Basura</t>
  </si>
  <si>
    <t>Carros para tinto</t>
  </si>
  <si>
    <t>Escalera 7 pasos</t>
  </si>
  <si>
    <t>Escalera 3 pasos</t>
  </si>
  <si>
    <t>Extensión Eléctrica, de mínimo 30 mts de longitud, recubierta en plástico PVC</t>
  </si>
  <si>
    <t>Hidrolavadora con motor eléctrico y potencia de mínimo 2.2 kw – 1450 RPM y entre 2.5 HP y 3.5 HP. Presión de salida de agua entre 1500 psi y 1900 psi</t>
  </si>
  <si>
    <t>Kit limpiavidrios</t>
  </si>
  <si>
    <t>Lavapisos</t>
  </si>
  <si>
    <t>Brilladora Industrial o alta definición</t>
  </si>
  <si>
    <t>Señales peatonales de prevención y atención</t>
  </si>
  <si>
    <t>Mangueras, longitud mínima de 60 metros, elaborada en PVC</t>
  </si>
  <si>
    <t>Lavado vidrios de fachada de la sede central del Icetex ubicada en la Cra. 3 # 18-32 de Bogotá</t>
  </si>
  <si>
    <t>Vlr Unitario Servicio Lavada</t>
  </si>
  <si>
    <t>Total con IVA (multiplicado x Cant)</t>
  </si>
  <si>
    <t>Vlr Neto Mensual (multiplicado x Cantidad)</t>
  </si>
  <si>
    <t>NOTA: En caso de que por norma legal tributaria exista exclusión del régimen del impuesto al valor agregado (I.V.A.), el proponente deberá presentar su propuesta económico conforme a esta disposición legal y tributaria, para lo cual deberá indicar expresamente la norma legal aplicable y los municipios exentos del IVA, así:</t>
  </si>
  <si>
    <t>Disposición Legal (indicar artículo y norma)</t>
  </si>
  <si>
    <t xml:space="preserve">Hechos o Circunstancias (s) sobre el (los) cual(es) aplica exclusión del IVA (indicar numeral o literal) (literalidad tomada de la Ley 47 de 1993 por la cual se dictan normas especiales para la organización y el funcionamiento del Departamento Archipiélago de San Andrés, Providencia y Santa Catalina en su artículo 22).     </t>
  </si>
  <si>
    <t>Municipio (s) y/o Departamento (s) con exclusión del régimen de IVA</t>
  </si>
  <si>
    <t>NOTA 1: En caso de que por norma legal tributaria exista exclusión del régimen del impuesto al valor agregado (I.V.A.), el proponente deberá presentar su propuesta económico conforme a esta disposición legal y tributaria, para lo cual deberá indicar expresamente la norma legal aplicable y los municipios exentos del IVA, así:</t>
  </si>
  <si>
    <t>NOTA 2:  Si dentro de la propuesta económica el proponente incluye el IVA estando el hecho excluido del régimen del impuesto a las ventas, su propuesta incurrirá en causal de rechazo</t>
  </si>
  <si>
    <t>VALOR TOTAL 01 DE MAYO DE 2015 AL 01 DE MAYO DE 2017 EN LETRAS</t>
  </si>
  <si>
    <t>VALOR TOTAL 01 DE MAYO DE 2015 AL 01 DE MAYO DE 2017 EN NÚMEROS</t>
  </si>
  <si>
    <t>Valor vigencia 01 de mayo de 2015 al 31 de diciembre de 2015</t>
  </si>
  <si>
    <t>Valor vigencia 01 de enero de 2016 al 31 de diciembre de 2016</t>
  </si>
  <si>
    <t>Valor vigencia 01 de enero de 2017 al 01 de mayo de 2017</t>
  </si>
  <si>
    <t xml:space="preserve">Valor Neto Mensual
</t>
  </si>
  <si>
    <t>Valor Bruto Unitario Mensual</t>
  </si>
  <si>
    <t>SUMATORIA DE LAS VIGENCIAS DESDE EL 01 DE MAYO DE 2015 HASTA 01 DE MAYO DE 2017</t>
  </si>
  <si>
    <t>SUMATORIA DE LAS VIGENCIAS DESDE EL 01 DE MAYO DE 2015 HASTA 01 DE MAYO DE 2017.</t>
  </si>
  <si>
    <t>IVA (En caso que aplique)</t>
  </si>
  <si>
    <t xml:space="preserve">VALOR NETO 01 MAYO AL 31 DE DICIEMBRE DE 2015 </t>
  </si>
  <si>
    <t>VALOR NETO 01 DE ENERO AL 31 DE DICIEMBRE DE 2016 (Incremento del 3,66%)</t>
  </si>
  <si>
    <t>VALOR NETO 01 DE ENERO AL 01 DE MAYO DE 2017 (Incremento del 3,66%)</t>
  </si>
  <si>
    <t>Vlr Neto Mensual ((Vlr Bruto Mensual+IVA) x Cantidad)</t>
  </si>
  <si>
    <t xml:space="preserve">VALOR NETO VIGENCIA DESDE 01 MAYO AL 31 DE DICIEMBRE DE 2015 </t>
  </si>
  <si>
    <t>SUMATORIA VIGENCIAS DESDE 01 DE MAYO DE 2015 HASTA 01 DE MAYO DE 2017</t>
  </si>
  <si>
    <t>Valor Neto ((Vlr Unitario+IVA)  x Cant)</t>
  </si>
  <si>
    <t>VALOR 01 MAYO AL 31 DE DICIEMBRE DE 2015 por concepto de dotación</t>
  </si>
  <si>
    <t>VALOR 01 DE ENERO AL 31 DE DICIEMBRE DE 2016 (Incremento del 3,66% para la dotación)</t>
  </si>
  <si>
    <t>VALOR 01 DE ENERO DE 2017 AL 01 DE MAYO DE 2017 (Incremento del 2,77% para la dotación)</t>
  </si>
  <si>
    <t xml:space="preserve">VALOR NETO VIGENCIA DESDE 01 ENERO AL 31 DE DICIEMBRE DE 2016 (Incremento del 3,66%) </t>
  </si>
  <si>
    <t xml:space="preserve">VALOR NETO VIGENCIA DESDE 01 ENERO AL 1 DE MAYO DE 2017 (Incremento del 3,66%) </t>
  </si>
  <si>
    <t xml:space="preserve">SUMATORIA TOTAL VIGENCIAS DESDE 01 DE MAYO DE 2015 HASTA 01 DE MAYO DE 2017 DE TODAS LAS CIUDADES </t>
  </si>
  <si>
    <t>OBSERVACIONES</t>
  </si>
  <si>
    <t>N/A</t>
  </si>
  <si>
    <t>VALOR 01 MAYO AL 31 DE DICIEMBRE DE 2015 *</t>
  </si>
  <si>
    <t xml:space="preserve">NOTA 2 DEL EVALUADOR: Una vez verificada la oferta económica, se evidenció que el proponente para los cálculos de los precios unitarios entre las vigencias realizó el incrementó del 3,66% autorizado por la Entidad en el numeral 5.9.4.1 Propuesta Económica de la adenda No. 03.  </t>
  </si>
  <si>
    <t xml:space="preserve">NOTA 3 DEL EVALUADOR: Se deja constancia que la Entidad al momento de validar la propuesta empleó para la formulación de las celdas dos decimales. </t>
  </si>
  <si>
    <t>VALOR TOTAL PROPUESTA ECONÓMICA</t>
  </si>
  <si>
    <t>AIU 
10%</t>
  </si>
  <si>
    <r>
      <t xml:space="preserve">NOTA 3 DEL EVALUADOR: De conformidad con lo establecido en la nota No. 2 del Anexo No. 10 contenida en el pliego de condiciones que reza: " Si dentro de la propuesta económica el proponente incluye el IVA estando el hecho excluido del régimen del impuesto a las ventas, su propuesta incurrirá en causal de rechazo", </t>
    </r>
    <r>
      <rPr>
        <b/>
        <u/>
        <sz val="9"/>
        <color theme="1"/>
        <rFont val="Arial Narrow"/>
        <family val="2"/>
      </rPr>
      <t>SE RECHAZA LA PROPUESTA</t>
    </r>
    <r>
      <rPr>
        <b/>
        <sz val="9"/>
        <color theme="1"/>
        <rFont val="Arial Narrow"/>
        <family val="2"/>
      </rPr>
      <t xml:space="preserve">, por cuanto el proponente calculó el IVA sobre el servicio que presta la operario de medio tiempo ubicado en el municipio de Leticia, así: 
1. El literal b) del artículo 270 de la Ley 223 de 1995, establece que será excluído del  impuesto sobre las ventas en el Departamento del Amazonas en el caso de "b) La prestación de servicios realizados en él territorio del Departamento del Amazonas."
2. El Icetex cuenta con punto de atención en el municipio de Leticia (Amazonas), lugar donde el proponente adjudicatario prestará el SERVICIO de aseo a través de una operario de medio tiempo. 
</t>
    </r>
  </si>
  <si>
    <t xml:space="preserve">NOTA 1 DEL EVALUADOR: El proponente dentro del Anexo No. 17 tuvo en cuenta las disposiciones relacionadas con la exclusión del IVA en el municipio de San Andrés Islas. 
De acuerdo con la oferta económica en lo relativo al suministro de insumos de aseo y cafetería en el municipio de Leticia, el proponente aplica IVA, lo cual se acepta bajo el entendido de que el proponente realizaría la compra de dichos insumos en lugar diferente al Departamento del Amazonas.  </t>
  </si>
  <si>
    <t>NOTA 1 DEL EVALUADOR: De conformidad con lo establecido en la nota No. 2 del Anexo No. 10 contenida en el pliego de condiciones que reza: " Si dentro de la propuesta económica el proponente incluye el IVA estando el hecho excluido del régimen del impuesto a las ventas, su propuesta incurrirá en causal de rechazo", SE RECHAZA LA PROPUESTA, por cuanto el proponente calculó el IVA sobre el servicio de fumigación que prestaría en el municipio de Leticia, así: 
1. El literal b) del artículo 270 de la Ley 223 de 1995, establece que será excluído del  impuesto sobre las ventas en el Departamento del Amazonas en el caso de "b) La prestación de servicios realizados en él territorio del Departamento del Amazonas."
2. El Icetex cuenta con punto de atención en el municipio de Leticia (Amazonas), lugar donde el proponente adjudicatario prestará el SERVICIO de fumigación.</t>
  </si>
  <si>
    <t xml:space="preserve">NOTA 3 DEL EVALUADOR: De conformidad con el pliego de condiciones y sus adendas, se deja constancia que lo contenido en esta evaluación es el deber ser de la oferta económica, tomando como criterio el valor unitario bruto ofertado por el proponente. A partir de este ejercicio, se procedió a comparar la oferta económica del proponente en lo pertinente al servicio de fumigación. </t>
  </si>
  <si>
    <t xml:space="preserve">NOTA 1 DEL EVALUADOR: De conformidad con lo establecido en la nota No. 2 del Anexo No. 10 contenida en el pliego de condiciones que reza: " Si dentro de la propuesta económica el proponente incluye el IVA estando el hecho excluido del régimen del impuesto a las ventas, su propuesta incurrirá en causal de rechazo", SE RECHAZA LA PROPUESTA, por cuanto el proponente calculó el IVA sobre el servicio de alquiler de equipos y elementos mínimos , así: 
1. El literal b) del artículo 270 de la Ley 223 de 1995, establece que será excluído del  impuesto sobre las ventas en el Departamento del Amazonas en el caso de "b) La prestación de servicios realizados en él territorio del Departamento del Amazonas."
2. El Icetex cuenta con punto de atención en el municipio de Leticia (Amazonas), lugar donde el proponente adjudicatario prestará el servicio de alquiler de equipos y elementos. 
</t>
  </si>
  <si>
    <t xml:space="preserve">NOTA 2 DEL EVALUADOR: Sin perjuicio de lo establecido en la nota No. 1, de conformidad con el pliego de condiciones y sus adendas, se deja constancia que lo contenido en esta evaluación es el deber ser de la oferta económica, tomando como criterio el valor bruto unitario ofertado por el proponente. A partir de este ejercicio, se procedió a comparar la oferta económica del proponente en lo pertinente al servicio de alquiler de equipos y elementos mínimos.
El proponente ofertó la suma de $48.550.480,48, mientras que el valor obtenido por el ICETEX fue la suma de $47.706.759,34, con una diferencia de $843.721,14 </t>
  </si>
  <si>
    <t xml:space="preserve">NOTA 2 DEL EVALUADOR: Una vez verificada la oferta económica, se evidenció que el proponente para los cálculos de los precios unitarios en la vigencia 2016 realizó el incrementó del 3,66% autorizado por la Entidad en el numeral 5.9.4.1 Propuesta Económica de la adenda No. 03; no osbtante, no tuvo en cuenta el incremento del 3,66% del valor bruto unitario, ya que ofertó un menor valor.  </t>
  </si>
  <si>
    <t xml:space="preserve">Teniendo en cuenta que la propuesta se encuentra rechazada por las razones expuestas en el acápite de Recurso Humano, servicio de fumigación y alquiler de equipos y elementos mínimos, la Entidad no procede a realizar los ajustes al Anexo No. 17, para la validación de los valores consignados en el acápite de Insumos de Aseo y Cafetería del Anexo NO. 10. </t>
  </si>
  <si>
    <t>NOTA 1 DEL EVALUADOR: Teniendo en cuenta que la propuesta se encuentra rechazada por las razones expuestas en el acápite de Recurso Humano, servicio de fumigación y alquiler de equipos y elementos mínimos, la Entidad no verifica que el valor de las vigencias de la propuesta y del valor total de la propuesta se encuentre ajustado a los valores aprobados por la Junta Directiva. 
Así como tampoco, valida que el valor de los errores aritméticos sean inferiores al 1%</t>
  </si>
  <si>
    <t xml:space="preserve">NOTA 4 DEL EVALUADOR: Una vez verificada la oferta económica, se evidenció que el proponente para los cálculos de los precios unitarios entre las vigencias realizó los incrementos porcentuales autorizado por la Entidad en el literal a), b) y c) del subnumeral (vii) del numeral 5.9.4.1 Propuesta Económica de la adenda No. 03. </t>
  </si>
  <si>
    <t xml:space="preserve">NOTA 5 DEL EVALUADOR: Se deja constancia que la Entidad al momento de validar la propuesta empleó para la formulación de las celdas dos decimales. </t>
  </si>
  <si>
    <t>NOTA 1 DEL EVALUADOR: De conformidad con el pliego de condiciones y sus adendas, se deja constancia que lo contenido en esta evaluación es el deber ser de la oferta económica, tomando como criterio el valor bruto unitario ofertado por el proponente. A partir de este ejercicio, se procedió a comparar la oferta económica del proponente en lo pertinente al servicio de alquiler de equipos y elementos mínimos.
El proponente ofertó la suma de $82.898.240,00, mientras que el valor obtenido por el ICETEX fue la suma de $96.227.557,79, con una diferencia de $13.329.317,79.</t>
  </si>
  <si>
    <t xml:space="preserve">NOTA 4 DEL EVALUADOR: Se deja constancia que la Entidad al momento de validar la propuesta empleó para la formulación de las celdas dos decimales. </t>
  </si>
  <si>
    <t>NOTA 2 DEL EVALUADOR: Se deja constancia que el el proponente en la casilla de "Valor Neto Mensual" calculó el valor unitario neto mensual de los componentes del salario del recurso humano; realizando los cálculos por el número de operarias en las casillas de "VALOR 01 MAYO AL 31 DE DICIEMBRE DE 2015 por concepto de subsidio de transporte", "VALOR 01 MAYO AL 31 DE DICIEMBRE DE 2015 por concepto de subsidio de básico, pensión, ARL, cajas de compensación, cesantías, intereses, prima de servicios, vacaciones"; "VALOR 01 MAYO AL 31 DE DICIEMBRE DE 2015 por concepto de dotación"; "VALOR 01 DE ENERO AL 31 DE DICIEMBRE DE 2016 (Incremento del 2,77% para el subsidio de transporte)"; "VALOR 1 DE ENERO AL 31 DE DICIEMBRE DE 2016 (Incremento del 4,66% para básico, pensión, ARL, cajas de compensación, cesantías, intereses, prima de servicios, vacaciones)"; "VALOR 01 DE ENERO AL 31 DE DICIEMBRE DE 2016 (Incremento del 3,66% para la dotación)"; "VALOR 01 DE ENERO DE 2017 AL 01 DE MAYO DE 2017 (Incremento del 2,77% para el subsidio de transporte)"; "VALOR 01 DE ENERO DE 2017 AL 01 DE MAYO DE 2017 (Incremento del 4,66% para básico, pensión, ARL, cajas de compensación, cesantías, intereses, prima de servicios, vacaciones)"; "VALOR 01 DE ENERO DE 2017 AL 01 DE MAYO DE 2017 (Incremento del 3,66% para la dotación)".</t>
  </si>
  <si>
    <t xml:space="preserve">NOTA 2 DEL EVALUADOR: Una vez verificada una muestra de la oferta económica, se evidenció que el proponente para los cálculos de los precios unitarios del agua potable purificada en la ciudad de Bogotá, no tuvo en cuenta el incremento del 3,66% autorizado por la Entidad en el literal d) del subnumeral (vii) del numeral 5.9.4.1 Propuesta Económica de la adenda No. 03.  </t>
  </si>
  <si>
    <t>ARCHIPIÉLAGO DE SAN ANDRÉS ISLAS, LETICIA</t>
  </si>
  <si>
    <t>OTRAS CIUDADES (Arauca, Cartagena, Tunja, Manizales, Popayán, Valledupar, Quibdó, Montería, Neiva, Santa Marta, Villavicencio, Pasto, Cúcuta, Armenia, Pereira, San Gil, Sincelejo, Ibague, Riohacha, Yopal, Barrancabermeja, Mocoa)</t>
  </si>
  <si>
    <t xml:space="preserve">NOTA 4 DEL EVALUADOR: El ICETEX para la verificación de la oferta, tomó los valores unitarios brutos y realizó el ejercicio de liquidación que consta en esta evaluación. </t>
  </si>
  <si>
    <t xml:space="preserve">NOTA 5 DEL EVALUADOR: El ICETEX para la verificación de la oferta, tomó los valores unitarios brutos y realizó el ejercicio de liquidación que consta en esta evaluación. </t>
  </si>
  <si>
    <t xml:space="preserve">NOTA 1 DEL EVALUADOR: De conformidad con el pliego de condiciones y sus adendas, se deja constancia que lo contenido en esta evaluación es el deber ser de la oferta económica, tomando como criterio el salario básico ofertado por el proponente. A partir de este ejercicio, se procedió a comparar la oferta económica del proponente en lo pertinente al recurso humano.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</si>
</sst>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6" formatCode="&quot;$&quot;\ #,##0_);[Red]\(&quot;$&quot;\ #,##0\)"/>
    <numFmt numFmtId="8" formatCode="&quot;$&quot;\ #,##0.00_);[Red]\(&quot;$&quot;\ #,##0.00\)"/>
    <numFmt numFmtId="43" formatCode="_(* #,##0.00_);_(* \(#,##0.00\);_(* &quot;-&quot;??_);_(@_)"/>
    <numFmt numFmtId="164" formatCode="_(&quot;$&quot;* #,##0.00_);_(&quot;$&quot;* \(#,##0.00\);_(&quot;$&quot;* &quot;-&quot;??_);_(@_)"/>
    <numFmt numFmtId="165" formatCode="_(&quot;$&quot;* #,##0_);_(&quot;$&quot;* \(#,##0\);_(&quot;$&quot;* &quot;-&quot;??_);_(@_)"/>
    <numFmt numFmtId="166" formatCode="#,##0.000"/>
    <numFmt numFmtId="167" formatCode="#,##0.00;[Red]#,##0.00"/>
  </numFmts>
  <fonts count="24" x14ac:knownFonts="1">
    <font>
      <sz val="11"/>
      <color theme="1"/>
      <name val="Calibri"/>
      <family val="2"/>
      <scheme val="minor"/>
    </font>
    <font>
      <b/>
      <sz val="11"/>
      <color theme="1"/>
      <name val="Calibri"/>
      <family val="2"/>
      <scheme val="minor"/>
    </font>
    <font>
      <sz val="10"/>
      <color theme="1"/>
      <name val="Times New Roman"/>
      <family val="1"/>
    </font>
    <font>
      <sz val="10"/>
      <name val="Arial"/>
      <family val="2"/>
    </font>
    <font>
      <b/>
      <sz val="10"/>
      <color rgb="FF000000"/>
      <name val="Arial Narrow"/>
      <family val="2"/>
    </font>
    <font>
      <b/>
      <sz val="10"/>
      <name val="Arial Narrow"/>
      <family val="2"/>
    </font>
    <font>
      <sz val="10"/>
      <name val="Arial Narrow"/>
      <family val="2"/>
    </font>
    <font>
      <sz val="10"/>
      <color theme="1"/>
      <name val="Arial Narrow"/>
      <family val="2"/>
    </font>
    <font>
      <sz val="10"/>
      <color rgb="FF000000"/>
      <name val="Arial Narrow"/>
      <family val="2"/>
    </font>
    <font>
      <b/>
      <sz val="10"/>
      <color theme="1"/>
      <name val="Arial Narrow"/>
      <family val="2"/>
    </font>
    <font>
      <b/>
      <sz val="9"/>
      <color theme="1"/>
      <name val="Calibri"/>
      <family val="2"/>
    </font>
    <font>
      <sz val="9"/>
      <color theme="1"/>
      <name val="Calibri"/>
      <family val="2"/>
    </font>
    <font>
      <b/>
      <sz val="9"/>
      <color theme="1"/>
      <name val="Arial Narrow"/>
      <family val="2"/>
    </font>
    <font>
      <sz val="11"/>
      <color theme="1"/>
      <name val="Arial Narrow"/>
      <family val="2"/>
    </font>
    <font>
      <sz val="9"/>
      <color theme="1"/>
      <name val="Arial Narrow"/>
      <family val="2"/>
    </font>
    <font>
      <b/>
      <sz val="7"/>
      <color rgb="FF000000"/>
      <name val="Calibri"/>
      <family val="2"/>
    </font>
    <font>
      <b/>
      <sz val="7"/>
      <color theme="1"/>
      <name val="Calibri"/>
      <family val="2"/>
    </font>
    <font>
      <b/>
      <sz val="7"/>
      <color rgb="FF000000"/>
      <name val="Arial Narrow"/>
      <family val="2"/>
    </font>
    <font>
      <sz val="9"/>
      <color rgb="FF000000"/>
      <name val="Arial Narrow"/>
      <family val="2"/>
    </font>
    <font>
      <b/>
      <sz val="9"/>
      <color rgb="FF000000"/>
      <name val="Arial Narrow"/>
      <family val="2"/>
    </font>
    <font>
      <b/>
      <sz val="11"/>
      <color rgb="FF000000"/>
      <name val="Calibri"/>
      <family val="2"/>
    </font>
    <font>
      <sz val="11"/>
      <color theme="1"/>
      <name val="Calibri"/>
      <family val="2"/>
      <scheme val="minor"/>
    </font>
    <font>
      <b/>
      <u/>
      <sz val="9"/>
      <color theme="1"/>
      <name val="Arial Narrow"/>
      <family val="2"/>
    </font>
    <font>
      <sz val="9"/>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D9D9D9"/>
        <bgColor indexed="64"/>
      </patternFill>
    </fill>
    <fill>
      <patternFill patternType="solid">
        <fgColor rgb="FFFFFFFF"/>
        <bgColor indexed="64"/>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8">
    <xf numFmtId="0" fontId="0" fillId="0" borderId="0"/>
    <xf numFmtId="0" fontId="3" fillId="0" borderId="0"/>
    <xf numFmtId="164"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43" fontId="21" fillId="0" borderId="0" applyFont="0" applyFill="0" applyBorder="0" applyAlignment="0" applyProtection="0"/>
  </cellStyleXfs>
  <cellXfs count="219">
    <xf numFmtId="0" fontId="0" fillId="0" borderId="0" xfId="0"/>
    <xf numFmtId="0" fontId="7" fillId="0" borderId="0" xfId="0" applyFont="1"/>
    <xf numFmtId="0" fontId="7" fillId="0" borderId="12" xfId="0" applyFont="1" applyBorder="1"/>
    <xf numFmtId="0" fontId="4" fillId="0" borderId="12" xfId="0" applyFont="1" applyBorder="1" applyAlignment="1">
      <alignment horizontal="center" vertical="center" wrapText="1"/>
    </xf>
    <xf numFmtId="0" fontId="4" fillId="0" borderId="12" xfId="0" applyFont="1" applyBorder="1" applyAlignment="1">
      <alignment horizontal="justify" vertical="center" wrapText="1"/>
    </xf>
    <xf numFmtId="0" fontId="4" fillId="0" borderId="12" xfId="0" applyFont="1" applyBorder="1" applyAlignment="1">
      <alignment horizontal="left" vertical="center" wrapText="1"/>
    </xf>
    <xf numFmtId="9" fontId="8" fillId="0" borderId="12" xfId="0" applyNumberFormat="1" applyFont="1" applyBorder="1" applyAlignment="1">
      <alignment horizontal="justify" vertical="center" wrapText="1"/>
    </xf>
    <xf numFmtId="0" fontId="8" fillId="0" borderId="12" xfId="0" applyFont="1" applyBorder="1" applyAlignment="1">
      <alignment horizontal="justify" vertical="center" wrapText="1"/>
    </xf>
    <xf numFmtId="0" fontId="4" fillId="0" borderId="12" xfId="0" applyFont="1" applyBorder="1" applyAlignment="1">
      <alignment horizontal="justify" vertical="center"/>
    </xf>
    <xf numFmtId="0" fontId="11" fillId="0" borderId="0" xfId="0" applyFont="1" applyAlignment="1">
      <alignment horizontal="justify" vertical="center" wrapText="1"/>
    </xf>
    <xf numFmtId="0" fontId="7" fillId="2" borderId="0" xfId="0" applyFont="1" applyFill="1" applyBorder="1"/>
    <xf numFmtId="0" fontId="7" fillId="2" borderId="12" xfId="0" applyFont="1" applyFill="1" applyBorder="1" applyAlignment="1">
      <alignment horizontal="justify" vertical="center" wrapText="1"/>
    </xf>
    <xf numFmtId="0" fontId="7" fillId="2" borderId="12" xfId="0" applyFont="1" applyFill="1" applyBorder="1" applyAlignment="1">
      <alignment vertical="top"/>
    </xf>
    <xf numFmtId="0" fontId="7" fillId="2" borderId="0" xfId="0" applyFont="1" applyFill="1" applyBorder="1" applyAlignment="1">
      <alignment horizontal="justify" vertical="center" wrapText="1"/>
    </xf>
    <xf numFmtId="165" fontId="5" fillId="2" borderId="12" xfId="2" applyNumberFormat="1" applyFont="1" applyFill="1" applyBorder="1" applyAlignment="1">
      <alignment horizontal="center" vertical="center" wrapText="1"/>
    </xf>
    <xf numFmtId="0" fontId="0" fillId="0" borderId="0" xfId="0" applyBorder="1"/>
    <xf numFmtId="0" fontId="11" fillId="0" borderId="0" xfId="0" applyFont="1" applyBorder="1" applyAlignment="1">
      <alignment horizontal="center" vertical="center"/>
    </xf>
    <xf numFmtId="0" fontId="11" fillId="0" borderId="0" xfId="0" applyFont="1" applyBorder="1" applyAlignment="1">
      <alignment horizontal="justify" vertical="center"/>
    </xf>
    <xf numFmtId="0" fontId="2" fillId="0" borderId="0" xfId="0" applyFont="1" applyBorder="1"/>
    <xf numFmtId="0" fontId="2" fillId="0" borderId="0" xfId="0" applyFont="1" applyBorder="1" applyAlignment="1">
      <alignment vertical="center"/>
    </xf>
    <xf numFmtId="0" fontId="10" fillId="0" borderId="0" xfId="0" applyFont="1" applyBorder="1" applyAlignment="1">
      <alignment horizontal="justify" vertical="center"/>
    </xf>
    <xf numFmtId="0" fontId="15" fillId="4" borderId="12" xfId="0" applyFont="1" applyFill="1" applyBorder="1" applyAlignment="1">
      <alignment horizontal="center" vertical="center" wrapText="1"/>
    </xf>
    <xf numFmtId="0" fontId="15" fillId="4" borderId="12" xfId="0" applyFont="1" applyFill="1" applyBorder="1" applyAlignment="1">
      <alignment horizontal="justify" vertical="center" wrapText="1"/>
    </xf>
    <xf numFmtId="0" fontId="11" fillId="5" borderId="12" xfId="0" applyFont="1" applyFill="1" applyBorder="1" applyAlignment="1">
      <alignment horizontal="justify" vertical="center" wrapText="1"/>
    </xf>
    <xf numFmtId="0" fontId="11" fillId="0" borderId="12" xfId="0" applyFont="1" applyBorder="1" applyAlignment="1">
      <alignment horizontal="center" vertical="center"/>
    </xf>
    <xf numFmtId="0" fontId="11" fillId="0" borderId="12" xfId="0" applyFont="1" applyBorder="1" applyAlignment="1">
      <alignment horizontal="center" vertical="center" wrapText="1"/>
    </xf>
    <xf numFmtId="0" fontId="0" fillId="0" borderId="12" xfId="0" applyBorder="1"/>
    <xf numFmtId="0" fontId="2" fillId="0" borderId="4" xfId="0" applyFont="1" applyBorder="1"/>
    <xf numFmtId="0" fontId="2" fillId="0" borderId="5" xfId="0" applyFont="1" applyBorder="1"/>
    <xf numFmtId="0" fontId="2" fillId="0" borderId="5" xfId="0" applyFont="1" applyBorder="1" applyAlignment="1">
      <alignment vertical="center"/>
    </xf>
    <xf numFmtId="0" fontId="2" fillId="0" borderId="16" xfId="0" applyFont="1" applyBorder="1"/>
    <xf numFmtId="0" fontId="0" fillId="0" borderId="15" xfId="0" applyBorder="1" applyAlignment="1">
      <alignment vertical="top"/>
    </xf>
    <xf numFmtId="0" fontId="0" fillId="0" borderId="11" xfId="0" applyBorder="1"/>
    <xf numFmtId="0" fontId="13" fillId="0" borderId="0" xfId="0" applyFont="1" applyBorder="1"/>
    <xf numFmtId="0" fontId="18" fillId="0" borderId="0" xfId="0" applyFont="1" applyBorder="1" applyAlignment="1">
      <alignment horizontal="justify" vertical="center" wrapText="1"/>
    </xf>
    <xf numFmtId="0" fontId="19" fillId="0" borderId="0" xfId="0" applyFont="1" applyBorder="1" applyAlignment="1">
      <alignment horizontal="justify" vertical="center" wrapText="1"/>
    </xf>
    <xf numFmtId="0" fontId="17" fillId="0" borderId="12" xfId="0" applyFont="1" applyBorder="1" applyAlignment="1">
      <alignment horizontal="center" vertical="center"/>
    </xf>
    <xf numFmtId="0" fontId="17" fillId="0" borderId="12" xfId="0" applyFont="1" applyBorder="1" applyAlignment="1">
      <alignment horizontal="center" vertical="center" wrapText="1"/>
    </xf>
    <xf numFmtId="0" fontId="18" fillId="0" borderId="12" xfId="0" applyFont="1" applyBorder="1" applyAlignment="1">
      <alignment horizontal="justify" vertical="center" wrapText="1"/>
    </xf>
    <xf numFmtId="0" fontId="18" fillId="0" borderId="12" xfId="0" applyFont="1" applyBorder="1" applyAlignment="1">
      <alignment horizontal="center" vertical="center"/>
    </xf>
    <xf numFmtId="0" fontId="18" fillId="0" borderId="12" xfId="0" applyFont="1" applyBorder="1" applyAlignment="1">
      <alignment horizontal="center" vertical="center" wrapText="1"/>
    </xf>
    <xf numFmtId="0" fontId="18" fillId="0" borderId="0" xfId="0" applyFont="1" applyBorder="1" applyAlignment="1">
      <alignment horizontal="justify" vertical="top" wrapText="1"/>
    </xf>
    <xf numFmtId="0" fontId="19" fillId="0" borderId="12" xfId="0" applyFont="1" applyBorder="1" applyAlignment="1">
      <alignment horizontal="justify" vertical="center" wrapText="1"/>
    </xf>
    <xf numFmtId="0" fontId="18" fillId="0" borderId="12" xfId="0" applyFont="1" applyBorder="1" applyAlignment="1">
      <alignment horizontal="justify" vertical="top" wrapText="1"/>
    </xf>
    <xf numFmtId="0" fontId="18" fillId="0" borderId="13" xfId="0" applyFont="1" applyBorder="1" applyAlignment="1">
      <alignment horizontal="justify" vertical="center" wrapText="1"/>
    </xf>
    <xf numFmtId="0" fontId="13" fillId="0" borderId="11" xfId="0" applyFont="1" applyBorder="1"/>
    <xf numFmtId="0" fontId="0" fillId="0" borderId="0" xfId="0" applyAlignment="1">
      <alignment vertical="top"/>
    </xf>
    <xf numFmtId="0" fontId="11" fillId="0" borderId="12" xfId="0" applyFont="1" applyBorder="1" applyAlignment="1">
      <alignment horizontal="justify" vertical="top" wrapText="1"/>
    </xf>
    <xf numFmtId="0" fontId="12" fillId="0" borderId="0" xfId="0" applyFont="1" applyBorder="1" applyAlignment="1">
      <alignment vertical="center" wrapText="1"/>
    </xf>
    <xf numFmtId="0" fontId="12" fillId="0" borderId="12" xfId="0" applyFont="1" applyBorder="1" applyAlignment="1">
      <alignment horizontal="center" vertical="center" wrapText="1"/>
    </xf>
    <xf numFmtId="0" fontId="12" fillId="0" borderId="12" xfId="0" applyFont="1" applyBorder="1" applyAlignment="1">
      <alignment vertical="center" wrapText="1"/>
    </xf>
    <xf numFmtId="0" fontId="12" fillId="0" borderId="12" xfId="0" applyFont="1" applyBorder="1" applyAlignment="1">
      <alignment horizontal="justify" vertical="center" wrapText="1"/>
    </xf>
    <xf numFmtId="0" fontId="12" fillId="0" borderId="12" xfId="0" applyFont="1" applyBorder="1" applyAlignment="1">
      <alignment horizontal="center" vertical="center" wrapText="1"/>
    </xf>
    <xf numFmtId="0" fontId="7" fillId="0" borderId="0" xfId="0" applyFont="1" applyAlignment="1">
      <alignment vertical="top" wrapText="1"/>
    </xf>
    <xf numFmtId="0" fontId="7" fillId="0" borderId="0" xfId="0" applyFont="1" applyBorder="1"/>
    <xf numFmtId="0" fontId="14" fillId="0" borderId="0" xfId="0" applyFont="1" applyAlignment="1">
      <alignment vertical="center" wrapText="1"/>
    </xf>
    <xf numFmtId="0" fontId="20" fillId="0" borderId="12" xfId="0" applyFont="1" applyBorder="1" applyAlignment="1">
      <alignment horizontal="left" vertical="center"/>
    </xf>
    <xf numFmtId="165" fontId="5" fillId="2" borderId="0" xfId="2" applyNumberFormat="1" applyFont="1" applyFill="1" applyBorder="1" applyAlignment="1">
      <alignment horizontal="center" vertical="top" wrapText="1"/>
    </xf>
    <xf numFmtId="0" fontId="9" fillId="2" borderId="12" xfId="0" applyFont="1" applyFill="1" applyBorder="1" applyAlignment="1">
      <alignment horizontal="center" vertical="center" wrapText="1"/>
    </xf>
    <xf numFmtId="0" fontId="7" fillId="2" borderId="4" xfId="0" applyFont="1" applyFill="1" applyBorder="1" applyAlignment="1">
      <alignment horizontal="justify" vertical="center" wrapText="1"/>
    </xf>
    <xf numFmtId="0" fontId="7" fillId="2" borderId="5" xfId="0" applyFont="1" applyFill="1" applyBorder="1" applyAlignment="1">
      <alignment vertical="top"/>
    </xf>
    <xf numFmtId="0" fontId="0" fillId="0" borderId="4" xfId="0" applyBorder="1"/>
    <xf numFmtId="0" fontId="14" fillId="0" borderId="0" xfId="0" applyFont="1" applyAlignment="1">
      <alignment horizontal="left" vertical="center" wrapText="1"/>
    </xf>
    <xf numFmtId="0" fontId="4" fillId="0" borderId="12" xfId="0" applyFont="1" applyBorder="1" applyAlignment="1">
      <alignment horizontal="justify" vertical="center" wrapText="1"/>
    </xf>
    <xf numFmtId="0" fontId="8" fillId="0" borderId="12" xfId="0" applyFont="1" applyBorder="1" applyAlignment="1">
      <alignment horizontal="justify" vertical="center" wrapText="1"/>
    </xf>
    <xf numFmtId="0" fontId="4" fillId="0" borderId="12" xfId="0" applyFont="1" applyBorder="1" applyAlignment="1">
      <alignment horizontal="center" vertical="center" wrapText="1"/>
    </xf>
    <xf numFmtId="3" fontId="4" fillId="0" borderId="12" xfId="0" applyNumberFormat="1" applyFont="1" applyBorder="1" applyAlignment="1">
      <alignment horizontal="justify" vertical="center" wrapText="1"/>
    </xf>
    <xf numFmtId="10" fontId="8" fillId="0" borderId="12" xfId="0" applyNumberFormat="1" applyFont="1" applyBorder="1" applyAlignment="1">
      <alignment horizontal="justify" vertical="center" wrapText="1"/>
    </xf>
    <xf numFmtId="6" fontId="7" fillId="0" borderId="0" xfId="0" applyNumberFormat="1" applyFont="1"/>
    <xf numFmtId="3" fontId="7" fillId="0" borderId="12" xfId="0" applyNumberFormat="1" applyFont="1" applyBorder="1"/>
    <xf numFmtId="4" fontId="8" fillId="0" borderId="12" xfId="0" applyNumberFormat="1" applyFont="1" applyBorder="1" applyAlignment="1">
      <alignment horizontal="left" vertical="center" wrapText="1"/>
    </xf>
    <xf numFmtId="0" fontId="8" fillId="0" borderId="12" xfId="0" applyFont="1" applyBorder="1" applyAlignment="1">
      <alignment horizontal="justify" vertical="center"/>
    </xf>
    <xf numFmtId="3" fontId="7" fillId="0" borderId="0" xfId="0" applyNumberFormat="1" applyFont="1"/>
    <xf numFmtId="0" fontId="14" fillId="0" borderId="12" xfId="0" applyFont="1" applyBorder="1" applyAlignment="1">
      <alignment horizontal="justify" vertical="center" wrapText="1"/>
    </xf>
    <xf numFmtId="0" fontId="7" fillId="0" borderId="12" xfId="0" applyFont="1" applyBorder="1" applyAlignment="1">
      <alignment wrapText="1"/>
    </xf>
    <xf numFmtId="0" fontId="9" fillId="2" borderId="0" xfId="0" applyFont="1" applyFill="1" applyBorder="1"/>
    <xf numFmtId="3" fontId="0" fillId="0" borderId="0" xfId="0" applyNumberFormat="1" applyBorder="1"/>
    <xf numFmtId="3" fontId="10" fillId="0" borderId="12" xfId="0" applyNumberFormat="1" applyFont="1" applyBorder="1" applyAlignment="1">
      <alignment horizontal="justify" vertical="top"/>
    </xf>
    <xf numFmtId="3" fontId="2" fillId="0" borderId="0" xfId="0" applyNumberFormat="1" applyFont="1" applyBorder="1"/>
    <xf numFmtId="0" fontId="0" fillId="0" borderId="6" xfId="0" applyBorder="1"/>
    <xf numFmtId="1" fontId="7" fillId="2" borderId="0" xfId="0" applyNumberFormat="1" applyFont="1" applyFill="1" applyBorder="1"/>
    <xf numFmtId="4" fontId="8" fillId="0" borderId="12" xfId="0" applyNumberFormat="1" applyFont="1" applyBorder="1" applyAlignment="1">
      <alignment horizontal="justify" vertical="center" wrapText="1"/>
    </xf>
    <xf numFmtId="4" fontId="11" fillId="0" borderId="12" xfId="0" applyNumberFormat="1" applyFont="1" applyBorder="1" applyAlignment="1">
      <alignment horizontal="justify" vertical="center"/>
    </xf>
    <xf numFmtId="166" fontId="11" fillId="0" borderId="12" xfId="0" applyNumberFormat="1" applyFont="1" applyBorder="1" applyAlignment="1">
      <alignment horizontal="justify" vertical="center"/>
    </xf>
    <xf numFmtId="4" fontId="1" fillId="0" borderId="12" xfId="0" applyNumberFormat="1" applyFont="1" applyBorder="1" applyAlignment="1">
      <alignment vertical="top"/>
    </xf>
    <xf numFmtId="0" fontId="14" fillId="0" borderId="12" xfId="0" applyFont="1" applyBorder="1" applyAlignment="1">
      <alignment horizontal="justify" vertical="top" wrapText="1"/>
    </xf>
    <xf numFmtId="0" fontId="1" fillId="0" borderId="0" xfId="0" applyFont="1" applyBorder="1" applyAlignment="1">
      <alignment vertical="top" wrapText="1"/>
    </xf>
    <xf numFmtId="0" fontId="0" fillId="0" borderId="8" xfId="0" applyBorder="1"/>
    <xf numFmtId="8" fontId="7" fillId="0" borderId="12" xfId="0" applyNumberFormat="1" applyFont="1" applyBorder="1"/>
    <xf numFmtId="4" fontId="8" fillId="0" borderId="12" xfId="0" applyNumberFormat="1" applyFont="1" applyBorder="1" applyAlignment="1">
      <alignment horizontal="left" vertical="center"/>
    </xf>
    <xf numFmtId="4" fontId="7" fillId="0" borderId="12" xfId="0" applyNumberFormat="1" applyFont="1" applyBorder="1" applyAlignment="1">
      <alignment horizontal="left"/>
    </xf>
    <xf numFmtId="4" fontId="7" fillId="0" borderId="12" xfId="0" applyNumberFormat="1" applyFont="1" applyBorder="1"/>
    <xf numFmtId="4" fontId="7" fillId="0" borderId="12" xfId="0" applyNumberFormat="1" applyFont="1" applyBorder="1" applyAlignment="1">
      <alignment wrapText="1"/>
    </xf>
    <xf numFmtId="4" fontId="18" fillId="0" borderId="12" xfId="0" applyNumberFormat="1" applyFont="1" applyBorder="1" applyAlignment="1">
      <alignment horizontal="center" vertical="center"/>
    </xf>
    <xf numFmtId="4" fontId="18" fillId="0" borderId="12" xfId="0" applyNumberFormat="1" applyFont="1" applyBorder="1" applyAlignment="1">
      <alignment horizontal="center" vertical="center" wrapText="1"/>
    </xf>
    <xf numFmtId="4" fontId="18" fillId="0" borderId="0" xfId="0" applyNumberFormat="1" applyFont="1" applyBorder="1" applyAlignment="1">
      <alignment horizontal="justify" vertical="center" wrapText="1"/>
    </xf>
    <xf numFmtId="4" fontId="18" fillId="0" borderId="12" xfId="0" applyNumberFormat="1" applyFont="1" applyBorder="1" applyAlignment="1">
      <alignment horizontal="justify" vertical="top" wrapText="1"/>
    </xf>
    <xf numFmtId="43" fontId="18" fillId="0" borderId="0" xfId="7" applyFont="1" applyBorder="1" applyAlignment="1">
      <alignment horizontal="justify" vertical="center" wrapText="1"/>
    </xf>
    <xf numFmtId="43" fontId="18" fillId="0" borderId="0" xfId="0" applyNumberFormat="1" applyFont="1" applyBorder="1" applyAlignment="1">
      <alignment horizontal="justify" vertical="center" wrapText="1"/>
    </xf>
    <xf numFmtId="4" fontId="0" fillId="0" borderId="12" xfId="0" applyNumberFormat="1" applyBorder="1"/>
    <xf numFmtId="3" fontId="0" fillId="0" borderId="12" xfId="0" applyNumberFormat="1" applyBorder="1"/>
    <xf numFmtId="0" fontId="20" fillId="0" borderId="0" xfId="0" applyFont="1" applyBorder="1" applyAlignment="1">
      <alignment horizontal="left" vertical="center"/>
    </xf>
    <xf numFmtId="0" fontId="0" fillId="0" borderId="12" xfId="0" applyBorder="1" applyAlignment="1">
      <alignment wrapText="1"/>
    </xf>
    <xf numFmtId="0" fontId="20" fillId="0" borderId="4" xfId="0" applyFont="1" applyBorder="1" applyAlignment="1">
      <alignment horizontal="left" vertical="center" wrapText="1"/>
    </xf>
    <xf numFmtId="0" fontId="20" fillId="0" borderId="5" xfId="0" applyFont="1" applyBorder="1" applyAlignment="1">
      <alignment horizontal="left" vertical="center" wrapText="1"/>
    </xf>
    <xf numFmtId="4" fontId="18" fillId="0" borderId="12" xfId="0" applyNumberFormat="1" applyFont="1" applyBorder="1" applyAlignment="1">
      <alignment horizontal="justify" vertical="center" wrapText="1"/>
    </xf>
    <xf numFmtId="4" fontId="13" fillId="0" borderId="12" xfId="0" applyNumberFormat="1" applyFont="1" applyBorder="1"/>
    <xf numFmtId="4" fontId="13" fillId="0" borderId="0" xfId="0" applyNumberFormat="1" applyFont="1" applyBorder="1"/>
    <xf numFmtId="167" fontId="11" fillId="0" borderId="12" xfId="0" applyNumberFormat="1" applyFont="1" applyBorder="1" applyAlignment="1">
      <alignment horizontal="justify" vertical="center"/>
    </xf>
    <xf numFmtId="0" fontId="17" fillId="2" borderId="12" xfId="0" applyFont="1" applyFill="1" applyBorder="1" applyAlignment="1">
      <alignment horizontal="center" vertical="center" wrapText="1"/>
    </xf>
    <xf numFmtId="4" fontId="18" fillId="2" borderId="12" xfId="0" applyNumberFormat="1" applyFont="1" applyFill="1" applyBorder="1" applyAlignment="1">
      <alignment horizontal="center" vertical="center" wrapText="1"/>
    </xf>
    <xf numFmtId="0" fontId="18" fillId="2" borderId="0" xfId="0" applyFont="1" applyFill="1" applyBorder="1" applyAlignment="1">
      <alignment horizontal="justify" vertical="top" wrapText="1"/>
    </xf>
    <xf numFmtId="0" fontId="18" fillId="2" borderId="0" xfId="0" applyFont="1" applyFill="1" applyBorder="1" applyAlignment="1">
      <alignment horizontal="justify" vertical="center" wrapText="1"/>
    </xf>
    <xf numFmtId="0" fontId="13" fillId="2" borderId="0" xfId="0" applyFont="1" applyFill="1" applyBorder="1"/>
    <xf numFmtId="0" fontId="14" fillId="0" borderId="0" xfId="0" applyFont="1" applyBorder="1" applyAlignment="1">
      <alignment horizontal="justify" vertical="top" wrapText="1"/>
    </xf>
    <xf numFmtId="0" fontId="14" fillId="0" borderId="0" xfId="0" applyFont="1" applyBorder="1" applyAlignment="1">
      <alignment horizontal="left" vertical="top" wrapText="1"/>
    </xf>
    <xf numFmtId="0" fontId="7" fillId="2" borderId="0" xfId="0" applyFont="1" applyFill="1" applyBorder="1" applyAlignment="1">
      <alignment vertical="top"/>
    </xf>
    <xf numFmtId="3" fontId="1" fillId="0" borderId="5" xfId="0" applyNumberFormat="1" applyFont="1" applyBorder="1"/>
    <xf numFmtId="165" fontId="5" fillId="0" borderId="12" xfId="2" applyNumberFormat="1" applyFont="1" applyFill="1" applyBorder="1" applyAlignment="1">
      <alignment horizontal="center" vertical="center" wrapText="1"/>
    </xf>
    <xf numFmtId="0" fontId="12" fillId="0" borderId="12" xfId="0" applyFont="1" applyBorder="1" applyAlignment="1">
      <alignment horizontal="left" vertical="top" wrapText="1"/>
    </xf>
    <xf numFmtId="0" fontId="9" fillId="0" borderId="12" xfId="0" applyFont="1" applyBorder="1" applyAlignment="1">
      <alignment horizontal="left" vertical="top" wrapText="1"/>
    </xf>
    <xf numFmtId="0" fontId="12" fillId="0" borderId="12" xfId="0" applyFont="1" applyBorder="1" applyAlignment="1">
      <alignment horizontal="left" vertical="center" wrapText="1"/>
    </xf>
    <xf numFmtId="165" fontId="5" fillId="3" borderId="12" xfId="2" applyNumberFormat="1" applyFont="1" applyFill="1" applyBorder="1" applyAlignment="1">
      <alignment horizontal="left" vertical="center" wrapText="1"/>
    </xf>
    <xf numFmtId="0" fontId="7" fillId="0" borderId="0" xfId="0" applyFont="1" applyAlignment="1">
      <alignment horizontal="left" vertical="top" wrapText="1"/>
    </xf>
    <xf numFmtId="0" fontId="14" fillId="0" borderId="13" xfId="0" applyFont="1" applyBorder="1" applyAlignment="1">
      <alignment horizontal="left" vertical="center" wrapText="1"/>
    </xf>
    <xf numFmtId="0" fontId="14" fillId="0" borderId="10" xfId="0" applyFont="1" applyBorder="1" applyAlignment="1">
      <alignment horizontal="left" vertical="center" wrapText="1"/>
    </xf>
    <xf numFmtId="0" fontId="14" fillId="0" borderId="11" xfId="0" applyFont="1" applyBorder="1" applyAlignment="1">
      <alignment horizontal="left" vertical="center" wrapText="1"/>
    </xf>
    <xf numFmtId="0" fontId="14" fillId="0" borderId="0" xfId="0" applyFont="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9" fillId="0" borderId="15" xfId="0" applyFont="1" applyBorder="1" applyAlignment="1">
      <alignment horizontal="center" vertical="center"/>
    </xf>
    <xf numFmtId="0" fontId="9" fillId="0" borderId="14" xfId="0" applyFont="1" applyBorder="1" applyAlignment="1">
      <alignment horizontal="center" vertical="center"/>
    </xf>
    <xf numFmtId="0" fontId="4" fillId="0" borderId="12" xfId="0" applyFont="1" applyBorder="1" applyAlignment="1">
      <alignment horizontal="justify" vertical="center" wrapText="1"/>
    </xf>
    <xf numFmtId="0" fontId="9" fillId="0" borderId="12" xfId="0" applyFont="1" applyBorder="1" applyAlignment="1">
      <alignment horizontal="center" vertical="center" wrapText="1"/>
    </xf>
    <xf numFmtId="0" fontId="9" fillId="0" borderId="12" xfId="0" applyFont="1" applyBorder="1" applyAlignment="1">
      <alignment horizontal="center" vertical="center"/>
    </xf>
    <xf numFmtId="0" fontId="4" fillId="0" borderId="12" xfId="0" applyFont="1" applyBorder="1" applyAlignment="1">
      <alignment horizontal="center" vertical="center" wrapText="1"/>
    </xf>
    <xf numFmtId="0" fontId="9" fillId="0" borderId="12" xfId="0" applyFont="1" applyBorder="1" applyAlignment="1">
      <alignment horizontal="left" vertical="top"/>
    </xf>
    <xf numFmtId="165" fontId="5" fillId="0" borderId="15" xfId="2"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5" xfId="0" applyFont="1" applyBorder="1" applyAlignment="1">
      <alignment horizontal="left" vertical="top" wrapText="1"/>
    </xf>
    <xf numFmtId="0" fontId="4" fillId="0" borderId="14" xfId="0" applyFont="1" applyBorder="1" applyAlignment="1">
      <alignment horizontal="left" vertical="top" wrapText="1"/>
    </xf>
    <xf numFmtId="0" fontId="4" fillId="0" borderId="9" xfId="0" applyFont="1" applyBorder="1" applyAlignment="1">
      <alignment horizontal="left" vertical="top" wrapText="1"/>
    </xf>
    <xf numFmtId="0" fontId="4" fillId="0" borderId="15"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9" xfId="0" applyFont="1" applyBorder="1" applyAlignment="1">
      <alignment horizontal="center" vertical="center" wrapText="1"/>
    </xf>
    <xf numFmtId="0" fontId="12" fillId="2" borderId="13" xfId="0" applyFont="1" applyFill="1" applyBorder="1" applyAlignment="1">
      <alignment wrapText="1"/>
    </xf>
    <xf numFmtId="0" fontId="0" fillId="0" borderId="10" xfId="0" applyBorder="1" applyAlignment="1">
      <alignment wrapText="1"/>
    </xf>
    <xf numFmtId="0" fontId="0" fillId="0" borderId="11" xfId="0" applyBorder="1" applyAlignment="1">
      <alignment wrapText="1"/>
    </xf>
    <xf numFmtId="3" fontId="7" fillId="2" borderId="13" xfId="0" applyNumberFormat="1" applyFont="1" applyFill="1" applyBorder="1" applyAlignment="1">
      <alignment horizontal="left" vertical="top" wrapText="1"/>
    </xf>
    <xf numFmtId="3" fontId="7" fillId="2" borderId="10" xfId="0" applyNumberFormat="1" applyFont="1" applyFill="1" applyBorder="1" applyAlignment="1">
      <alignment horizontal="left" vertical="top" wrapText="1"/>
    </xf>
    <xf numFmtId="3" fontId="7" fillId="2" borderId="11" xfId="0" applyNumberFormat="1" applyFont="1" applyFill="1" applyBorder="1" applyAlignment="1">
      <alignment horizontal="left" vertical="top" wrapText="1"/>
    </xf>
    <xf numFmtId="0" fontId="9" fillId="2" borderId="12" xfId="0" applyFont="1" applyFill="1" applyBorder="1" applyAlignment="1">
      <alignment horizontal="left" vertical="top" wrapText="1"/>
    </xf>
    <xf numFmtId="0" fontId="9" fillId="2" borderId="12" xfId="0" applyFont="1" applyFill="1" applyBorder="1" applyAlignment="1">
      <alignment horizontal="left" vertical="top"/>
    </xf>
    <xf numFmtId="0" fontId="12" fillId="0" borderId="12" xfId="0" applyFont="1" applyBorder="1" applyAlignment="1">
      <alignment horizontal="center" vertical="center" wrapText="1"/>
    </xf>
    <xf numFmtId="0" fontId="14" fillId="0" borderId="12" xfId="0" applyFont="1" applyBorder="1" applyAlignment="1">
      <alignment horizontal="left" vertical="top" wrapText="1"/>
    </xf>
    <xf numFmtId="0" fontId="0" fillId="0" borderId="0" xfId="0" applyBorder="1" applyAlignment="1">
      <alignment horizontal="left" vertical="top"/>
    </xf>
    <xf numFmtId="165" fontId="5" fillId="2" borderId="12" xfId="2" applyNumberFormat="1" applyFont="1" applyFill="1" applyBorder="1" applyAlignment="1">
      <alignment horizontal="left" vertical="top" wrapText="1"/>
    </xf>
    <xf numFmtId="0" fontId="6" fillId="2" borderId="12" xfId="2" applyNumberFormat="1" applyFont="1" applyFill="1" applyBorder="1" applyAlignment="1">
      <alignment horizontal="left" vertical="top" wrapText="1"/>
    </xf>
    <xf numFmtId="0" fontId="12" fillId="0" borderId="13" xfId="0" applyFont="1" applyBorder="1" applyAlignment="1">
      <alignment wrapText="1"/>
    </xf>
    <xf numFmtId="0" fontId="12" fillId="0" borderId="10" xfId="0" applyFont="1" applyBorder="1" applyAlignment="1">
      <alignment wrapText="1"/>
    </xf>
    <xf numFmtId="0" fontId="12" fillId="0" borderId="11" xfId="0" applyFont="1" applyBorder="1" applyAlignment="1">
      <alignment wrapText="1"/>
    </xf>
    <xf numFmtId="0" fontId="16" fillId="4" borderId="12" xfId="0" applyFont="1" applyFill="1" applyBorder="1" applyAlignment="1">
      <alignment horizontal="center" vertical="center" wrapText="1"/>
    </xf>
    <xf numFmtId="165" fontId="5" fillId="2" borderId="13" xfId="2" applyNumberFormat="1" applyFont="1" applyFill="1" applyBorder="1" applyAlignment="1">
      <alignment horizontal="left" vertical="top" wrapText="1"/>
    </xf>
    <xf numFmtId="165" fontId="5" fillId="2" borderId="10" xfId="2" applyNumberFormat="1" applyFont="1" applyFill="1" applyBorder="1" applyAlignment="1">
      <alignment horizontal="left" vertical="top" wrapText="1"/>
    </xf>
    <xf numFmtId="165" fontId="5" fillId="2" borderId="11" xfId="2" applyNumberFormat="1" applyFont="1" applyFill="1" applyBorder="1" applyAlignment="1">
      <alignment horizontal="left" vertical="top" wrapText="1"/>
    </xf>
    <xf numFmtId="0" fontId="15" fillId="4" borderId="13" xfId="0" applyFont="1" applyFill="1" applyBorder="1" applyAlignment="1">
      <alignment horizontal="center" vertical="center"/>
    </xf>
    <xf numFmtId="0" fontId="15" fillId="4" borderId="10" xfId="0" applyFont="1" applyFill="1" applyBorder="1" applyAlignment="1">
      <alignment horizontal="center" vertical="center"/>
    </xf>
    <xf numFmtId="0" fontId="15" fillId="4" borderId="11" xfId="0" applyFont="1" applyFill="1" applyBorder="1" applyAlignment="1">
      <alignment horizontal="center" vertical="center"/>
    </xf>
    <xf numFmtId="0" fontId="11" fillId="0" borderId="15" xfId="0" applyFont="1" applyBorder="1" applyAlignment="1">
      <alignment horizontal="center" vertical="center"/>
    </xf>
    <xf numFmtId="0" fontId="11" fillId="0" borderId="14" xfId="0" applyFont="1" applyBorder="1" applyAlignment="1">
      <alignment horizontal="center" vertical="center"/>
    </xf>
    <xf numFmtId="0" fontId="11" fillId="0" borderId="9" xfId="0" applyFont="1" applyBorder="1" applyAlignment="1">
      <alignment horizontal="center" vertical="center"/>
    </xf>
    <xf numFmtId="0" fontId="15" fillId="4" borderId="12" xfId="0" applyFont="1" applyFill="1" applyBorder="1" applyAlignment="1">
      <alignment horizontal="center" vertical="center" wrapText="1"/>
    </xf>
    <xf numFmtId="0" fontId="11" fillId="5" borderId="12" xfId="0" applyFont="1" applyFill="1" applyBorder="1" applyAlignment="1">
      <alignment horizontal="justify" vertical="center" wrapText="1"/>
    </xf>
    <xf numFmtId="3" fontId="0" fillId="0" borderId="13" xfId="0" applyNumberFormat="1" applyBorder="1" applyAlignment="1">
      <alignment horizontal="left" vertical="top"/>
    </xf>
    <xf numFmtId="3" fontId="0" fillId="0" borderId="10" xfId="0" applyNumberFormat="1" applyBorder="1" applyAlignment="1">
      <alignment horizontal="left" vertical="top"/>
    </xf>
    <xf numFmtId="3" fontId="0" fillId="0" borderId="11" xfId="0" applyNumberFormat="1" applyBorder="1" applyAlignment="1">
      <alignment horizontal="left" vertical="top"/>
    </xf>
    <xf numFmtId="0" fontId="12" fillId="0" borderId="12" xfId="0" applyFont="1" applyBorder="1" applyAlignment="1">
      <alignment horizontal="left" vertical="top"/>
    </xf>
    <xf numFmtId="165" fontId="5" fillId="2" borderId="12" xfId="2" applyNumberFormat="1" applyFont="1" applyFill="1" applyBorder="1" applyAlignment="1">
      <alignment horizontal="center" vertical="top" wrapText="1"/>
    </xf>
    <xf numFmtId="165" fontId="5" fillId="2" borderId="0" xfId="2" applyNumberFormat="1" applyFont="1" applyFill="1" applyBorder="1" applyAlignment="1">
      <alignment horizontal="center" vertical="top" wrapText="1"/>
    </xf>
    <xf numFmtId="0" fontId="12" fillId="2" borderId="13" xfId="0" applyFont="1" applyFill="1" applyBorder="1" applyAlignment="1">
      <alignment horizontal="left" vertical="top" wrapText="1"/>
    </xf>
    <xf numFmtId="0" fontId="12" fillId="2" borderId="10" xfId="0" applyFont="1" applyFill="1" applyBorder="1" applyAlignment="1">
      <alignment horizontal="left" vertical="top"/>
    </xf>
    <xf numFmtId="0" fontId="12" fillId="2" borderId="11" xfId="0" applyFont="1" applyFill="1" applyBorder="1" applyAlignment="1">
      <alignment horizontal="left" vertical="top"/>
    </xf>
    <xf numFmtId="0" fontId="12" fillId="2" borderId="10" xfId="0" applyFont="1" applyFill="1" applyBorder="1" applyAlignment="1">
      <alignment horizontal="left" vertical="top" wrapText="1"/>
    </xf>
    <xf numFmtId="0" fontId="12" fillId="2" borderId="11" xfId="0" applyFont="1" applyFill="1" applyBorder="1" applyAlignment="1">
      <alignment horizontal="left" vertical="top" wrapText="1"/>
    </xf>
    <xf numFmtId="0" fontId="14" fillId="0" borderId="13" xfId="0" applyFont="1" applyBorder="1" applyAlignment="1">
      <alignment horizontal="left" vertical="top" wrapText="1"/>
    </xf>
    <xf numFmtId="0" fontId="14" fillId="0" borderId="10" xfId="0" applyFont="1" applyBorder="1" applyAlignment="1">
      <alignment horizontal="left" vertical="top" wrapText="1"/>
    </xf>
    <xf numFmtId="4" fontId="18" fillId="0" borderId="13" xfId="0" applyNumberFormat="1" applyFont="1" applyBorder="1" applyAlignment="1">
      <alignment horizontal="left" vertical="center" wrapText="1"/>
    </xf>
    <xf numFmtId="0" fontId="18" fillId="0" borderId="10" xfId="0" applyFont="1" applyBorder="1" applyAlignment="1">
      <alignment horizontal="left" vertical="center" wrapText="1"/>
    </xf>
    <xf numFmtId="0" fontId="18" fillId="0" borderId="11" xfId="0" applyFont="1" applyBorder="1" applyAlignment="1">
      <alignment horizontal="left" vertical="center" wrapText="1"/>
    </xf>
    <xf numFmtId="0" fontId="12" fillId="0" borderId="5" xfId="0" applyFont="1" applyBorder="1" applyAlignment="1">
      <alignment wrapText="1"/>
    </xf>
    <xf numFmtId="0" fontId="23" fillId="0" borderId="5" xfId="0" applyFont="1" applyBorder="1" applyAlignment="1">
      <alignment wrapText="1"/>
    </xf>
    <xf numFmtId="0" fontId="17" fillId="0" borderId="13" xfId="0" applyFont="1" applyBorder="1" applyAlignment="1">
      <alignment horizontal="left" vertical="center" wrapText="1"/>
    </xf>
    <xf numFmtId="0" fontId="17" fillId="0" borderId="10" xfId="0" applyFont="1" applyBorder="1" applyAlignment="1">
      <alignment horizontal="left" vertical="center" wrapText="1"/>
    </xf>
    <xf numFmtId="0" fontId="17" fillId="0" borderId="11" xfId="0" applyFont="1" applyBorder="1" applyAlignment="1">
      <alignment horizontal="left" vertical="center" wrapText="1"/>
    </xf>
    <xf numFmtId="0" fontId="17" fillId="0" borderId="12" xfId="0" applyFont="1" applyBorder="1" applyAlignment="1">
      <alignment horizontal="center" vertical="center" wrapText="1"/>
    </xf>
    <xf numFmtId="0" fontId="17" fillId="0" borderId="12" xfId="0" applyFont="1" applyBorder="1" applyAlignment="1">
      <alignment horizontal="center" vertical="center"/>
    </xf>
    <xf numFmtId="0" fontId="12" fillId="0" borderId="13" xfId="0" applyFont="1" applyBorder="1" applyAlignment="1">
      <alignment horizontal="left" vertical="top" wrapText="1"/>
    </xf>
    <xf numFmtId="0" fontId="12" fillId="0" borderId="10" xfId="0" applyFont="1" applyBorder="1" applyAlignment="1">
      <alignment horizontal="left" vertical="top" wrapText="1"/>
    </xf>
    <xf numFmtId="0" fontId="12" fillId="0" borderId="11" xfId="0" applyFont="1" applyBorder="1" applyAlignment="1">
      <alignment horizontal="left" vertical="top" wrapText="1"/>
    </xf>
    <xf numFmtId="0" fontId="1" fillId="0" borderId="12" xfId="0" applyFont="1" applyBorder="1" applyAlignment="1">
      <alignment horizontal="left" vertical="top"/>
    </xf>
    <xf numFmtId="0" fontId="1" fillId="0" borderId="12" xfId="0" applyFont="1" applyBorder="1" applyAlignment="1">
      <alignment horizontal="left" vertical="top" wrapText="1"/>
    </xf>
    <xf numFmtId="4" fontId="0" fillId="0" borderId="13" xfId="0" applyNumberFormat="1" applyBorder="1" applyAlignment="1">
      <alignment horizontal="left"/>
    </xf>
    <xf numFmtId="4" fontId="0" fillId="0" borderId="10" xfId="0" applyNumberFormat="1" applyBorder="1" applyAlignment="1">
      <alignment horizontal="left"/>
    </xf>
    <xf numFmtId="4" fontId="0" fillId="0" borderId="11" xfId="0" applyNumberFormat="1" applyBorder="1" applyAlignment="1">
      <alignment horizontal="left"/>
    </xf>
    <xf numFmtId="0" fontId="10" fillId="0" borderId="12" xfId="0" applyFont="1" applyBorder="1" applyAlignment="1">
      <alignment horizontal="justify" vertical="center" wrapText="1"/>
    </xf>
    <xf numFmtId="0" fontId="20" fillId="0" borderId="13"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12" xfId="0" applyFont="1" applyBorder="1" applyAlignment="1">
      <alignment horizontal="lef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16"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cellXfs>
  <cellStyles count="8">
    <cellStyle name="Millares" xfId="7" builtinId="3"/>
    <cellStyle name="Millares 2" xfId="6"/>
    <cellStyle name="Millares 3" xfId="4"/>
    <cellStyle name="Moneda 2" xfId="2"/>
    <cellStyle name="Normal" xfId="0" builtinId="0"/>
    <cellStyle name="Normal 2" xfId="5"/>
    <cellStyle name="Normal 3" xfId="1"/>
    <cellStyle name="Porcentaje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5"/>
  <sheetViews>
    <sheetView tabSelected="1" topLeftCell="A88" zoomScaleNormal="100" workbookViewId="0">
      <selection activeCell="A93" sqref="A93:I93"/>
    </sheetView>
  </sheetViews>
  <sheetFormatPr baseColWidth="10" defaultRowHeight="12.75" x14ac:dyDescent="0.2"/>
  <cols>
    <col min="1" max="1" width="21.42578125" style="1" customWidth="1"/>
    <col min="2" max="4" width="11.42578125" style="1"/>
    <col min="5" max="5" width="13.28515625" style="1" customWidth="1"/>
    <col min="6" max="7" width="11.42578125" style="1"/>
    <col min="8" max="8" width="19.85546875" style="1" customWidth="1"/>
    <col min="9" max="9" width="39.5703125" style="1" customWidth="1"/>
    <col min="10" max="16384" width="11.42578125" style="1"/>
  </cols>
  <sheetData>
    <row r="1" spans="1:10" ht="20.25" customHeight="1" x14ac:dyDescent="0.2">
      <c r="A1" s="139" t="s">
        <v>0</v>
      </c>
      <c r="B1" s="140"/>
      <c r="C1" s="140"/>
      <c r="D1" s="136" t="s">
        <v>8</v>
      </c>
      <c r="E1" s="118" t="s">
        <v>189</v>
      </c>
      <c r="F1" s="118" t="s">
        <v>212</v>
      </c>
      <c r="G1" s="118" t="s">
        <v>192</v>
      </c>
      <c r="H1" s="118" t="s">
        <v>188</v>
      </c>
      <c r="I1" s="118" t="s">
        <v>206</v>
      </c>
    </row>
    <row r="2" spans="1:10" ht="15.75" customHeight="1" x14ac:dyDescent="0.2">
      <c r="A2" s="141"/>
      <c r="B2" s="142"/>
      <c r="C2" s="142"/>
      <c r="D2" s="146"/>
      <c r="E2" s="138"/>
      <c r="F2" s="138"/>
      <c r="G2" s="138"/>
      <c r="H2" s="138"/>
      <c r="I2" s="118"/>
    </row>
    <row r="3" spans="1:10" x14ac:dyDescent="0.2">
      <c r="A3" s="2"/>
      <c r="B3" s="136" t="s">
        <v>2</v>
      </c>
      <c r="C3" s="136"/>
      <c r="D3" s="136">
        <v>16</v>
      </c>
      <c r="E3" s="3"/>
      <c r="F3" s="3"/>
      <c r="G3" s="3"/>
      <c r="H3" s="3"/>
      <c r="I3" s="65"/>
    </row>
    <row r="4" spans="1:10" ht="42" customHeight="1" x14ac:dyDescent="0.2">
      <c r="A4" s="136" t="s">
        <v>7</v>
      </c>
      <c r="B4" s="133" t="s">
        <v>13</v>
      </c>
      <c r="C4" s="133"/>
      <c r="D4" s="136"/>
      <c r="E4" s="81">
        <v>644350</v>
      </c>
      <c r="F4" s="81">
        <f>(E4*10%)</f>
        <v>64435</v>
      </c>
      <c r="G4" s="81">
        <f>(F4*16%)</f>
        <v>10309.6</v>
      </c>
      <c r="H4" s="81">
        <f>(E4+F4+G4)*16</f>
        <v>11505513.6</v>
      </c>
      <c r="I4" s="71"/>
    </row>
    <row r="5" spans="1:10" x14ac:dyDescent="0.2">
      <c r="A5" s="136"/>
      <c r="B5" s="133" t="s">
        <v>14</v>
      </c>
      <c r="C5" s="133"/>
      <c r="D5" s="136"/>
      <c r="E5" s="81">
        <v>74000</v>
      </c>
      <c r="F5" s="81">
        <f t="shared" ref="F5:F13" si="0">(E5*10%)</f>
        <v>7400</v>
      </c>
      <c r="G5" s="81">
        <f t="shared" ref="G5:G13" si="1">(F5*16%)</f>
        <v>1184</v>
      </c>
      <c r="H5" s="81">
        <f t="shared" ref="H5:H13" si="2">(E5+F5+G5)*16</f>
        <v>1321344</v>
      </c>
      <c r="I5" s="63"/>
    </row>
    <row r="6" spans="1:10" x14ac:dyDescent="0.2">
      <c r="A6" s="136"/>
      <c r="B6" s="133" t="s">
        <v>3</v>
      </c>
      <c r="C6" s="133"/>
      <c r="D6" s="136"/>
      <c r="E6" s="81">
        <f>SUM(E4:E5)</f>
        <v>718350</v>
      </c>
      <c r="F6" s="81">
        <f t="shared" si="0"/>
        <v>71835</v>
      </c>
      <c r="G6" s="81">
        <f t="shared" si="1"/>
        <v>11493.6</v>
      </c>
      <c r="H6" s="81">
        <f t="shared" si="2"/>
        <v>12826857.6</v>
      </c>
      <c r="I6" s="63"/>
    </row>
    <row r="7" spans="1:10" x14ac:dyDescent="0.2">
      <c r="A7" s="136"/>
      <c r="B7" s="5" t="s">
        <v>15</v>
      </c>
      <c r="C7" s="6">
        <v>0.12</v>
      </c>
      <c r="D7" s="136"/>
      <c r="E7" s="81">
        <f>(E4*12%)</f>
        <v>77322</v>
      </c>
      <c r="F7" s="81">
        <f t="shared" si="0"/>
        <v>7732.2000000000007</v>
      </c>
      <c r="G7" s="81">
        <f t="shared" si="1"/>
        <v>1237.152</v>
      </c>
      <c r="H7" s="81">
        <f t="shared" si="2"/>
        <v>1380661.632</v>
      </c>
      <c r="I7" s="6"/>
    </row>
    <row r="8" spans="1:10" x14ac:dyDescent="0.2">
      <c r="A8" s="136"/>
      <c r="B8" s="5" t="s">
        <v>16</v>
      </c>
      <c r="C8" s="6">
        <v>1.044E-2</v>
      </c>
      <c r="D8" s="136"/>
      <c r="E8" s="81">
        <f>(E4*C8)</f>
        <v>6727.0140000000001</v>
      </c>
      <c r="F8" s="81">
        <f t="shared" si="0"/>
        <v>672.70140000000004</v>
      </c>
      <c r="G8" s="81">
        <f t="shared" si="1"/>
        <v>107.63222400000001</v>
      </c>
      <c r="H8" s="81">
        <f t="shared" si="2"/>
        <v>120117.561984</v>
      </c>
      <c r="I8" s="6"/>
    </row>
    <row r="9" spans="1:10" ht="25.5" x14ac:dyDescent="0.2">
      <c r="A9" s="136"/>
      <c r="B9" s="5" t="s">
        <v>17</v>
      </c>
      <c r="C9" s="6">
        <v>0.04</v>
      </c>
      <c r="D9" s="136"/>
      <c r="E9" s="81">
        <f>(E4*C9)</f>
        <v>25774</v>
      </c>
      <c r="F9" s="81">
        <f t="shared" si="0"/>
        <v>2577.4</v>
      </c>
      <c r="G9" s="81">
        <f t="shared" si="1"/>
        <v>412.38400000000001</v>
      </c>
      <c r="H9" s="81">
        <f t="shared" si="2"/>
        <v>460220.54399999999</v>
      </c>
      <c r="I9" s="71"/>
    </row>
    <row r="10" spans="1:10" x14ac:dyDescent="0.2">
      <c r="A10" s="136"/>
      <c r="B10" s="5" t="s">
        <v>18</v>
      </c>
      <c r="C10" s="67">
        <v>8.3299999999999999E-2</v>
      </c>
      <c r="D10" s="136"/>
      <c r="E10" s="81">
        <f>(E6*C10)</f>
        <v>59838.555</v>
      </c>
      <c r="F10" s="81">
        <f t="shared" si="0"/>
        <v>5983.8555000000006</v>
      </c>
      <c r="G10" s="81">
        <f t="shared" si="1"/>
        <v>957.41688000000011</v>
      </c>
      <c r="H10" s="81">
        <f t="shared" si="2"/>
        <v>1068477.23808</v>
      </c>
      <c r="I10" s="71"/>
    </row>
    <row r="11" spans="1:10" x14ac:dyDescent="0.2">
      <c r="A11" s="136"/>
      <c r="B11" s="5" t="s">
        <v>19</v>
      </c>
      <c r="C11" s="6">
        <v>0.01</v>
      </c>
      <c r="D11" s="136"/>
      <c r="E11" s="81">
        <f>(E6*C11)</f>
        <v>7183.5</v>
      </c>
      <c r="F11" s="81">
        <f t="shared" si="0"/>
        <v>718.35</v>
      </c>
      <c r="G11" s="81">
        <f t="shared" si="1"/>
        <v>114.93600000000001</v>
      </c>
      <c r="H11" s="81">
        <f t="shared" si="2"/>
        <v>128268.576</v>
      </c>
      <c r="I11" s="71"/>
    </row>
    <row r="12" spans="1:10" ht="24" customHeight="1" x14ac:dyDescent="0.2">
      <c r="A12" s="136"/>
      <c r="B12" s="63" t="s">
        <v>20</v>
      </c>
      <c r="C12" s="67">
        <v>8.3299999999999999E-2</v>
      </c>
      <c r="D12" s="136"/>
      <c r="E12" s="81">
        <f>(E6*C12)</f>
        <v>59838.555</v>
      </c>
      <c r="F12" s="81">
        <f t="shared" si="0"/>
        <v>5983.8555000000006</v>
      </c>
      <c r="G12" s="81">
        <f t="shared" si="1"/>
        <v>957.41688000000011</v>
      </c>
      <c r="H12" s="81">
        <f t="shared" si="2"/>
        <v>1068477.23808</v>
      </c>
      <c r="I12" s="64"/>
    </row>
    <row r="13" spans="1:10" x14ac:dyDescent="0.2">
      <c r="A13" s="136"/>
      <c r="B13" s="63" t="s">
        <v>21</v>
      </c>
      <c r="C13" s="67">
        <v>4.1700000000000001E-2</v>
      </c>
      <c r="D13" s="136"/>
      <c r="E13" s="81">
        <f>(E4*C13)</f>
        <v>26869.395</v>
      </c>
      <c r="F13" s="81">
        <f t="shared" si="0"/>
        <v>2686.9395000000004</v>
      </c>
      <c r="G13" s="81">
        <f t="shared" si="1"/>
        <v>429.91032000000007</v>
      </c>
      <c r="H13" s="81">
        <f t="shared" si="2"/>
        <v>479779.91712</v>
      </c>
      <c r="I13" s="71"/>
      <c r="J13" s="68"/>
    </row>
    <row r="14" spans="1:10" x14ac:dyDescent="0.2">
      <c r="A14" s="136"/>
      <c r="B14" s="128" t="s">
        <v>10</v>
      </c>
      <c r="C14" s="129"/>
      <c r="D14" s="129"/>
      <c r="E14" s="129"/>
      <c r="F14" s="129"/>
      <c r="G14" s="130"/>
      <c r="H14" s="88">
        <f>SUM(H6:H13)</f>
        <v>17532860.307263996</v>
      </c>
      <c r="I14" s="71"/>
    </row>
    <row r="15" spans="1:10" x14ac:dyDescent="0.2">
      <c r="A15" s="146" t="s">
        <v>9</v>
      </c>
      <c r="B15" s="133" t="s">
        <v>13</v>
      </c>
      <c r="C15" s="133"/>
      <c r="D15" s="136">
        <v>23</v>
      </c>
      <c r="E15" s="70">
        <v>322175</v>
      </c>
      <c r="F15" s="70">
        <f>(E15*10%)</f>
        <v>32217.5</v>
      </c>
      <c r="G15" s="70">
        <f>(F15*16%)</f>
        <v>5154.8</v>
      </c>
      <c r="H15" s="70">
        <f>(E15+F15+G15)*D15</f>
        <v>8269587.8999999994</v>
      </c>
      <c r="I15" s="64"/>
    </row>
    <row r="16" spans="1:10" x14ac:dyDescent="0.2">
      <c r="A16" s="147"/>
      <c r="B16" s="133" t="s">
        <v>14</v>
      </c>
      <c r="C16" s="133"/>
      <c r="D16" s="136"/>
      <c r="E16" s="70">
        <v>74000</v>
      </c>
      <c r="F16" s="70">
        <f t="shared" ref="F16:F24" si="3">(E16*10%)</f>
        <v>7400</v>
      </c>
      <c r="G16" s="70">
        <f t="shared" ref="G16:G24" si="4">(F16*16%)</f>
        <v>1184</v>
      </c>
      <c r="H16" s="70">
        <f>(E16+F16+G16)*D15</f>
        <v>1899432</v>
      </c>
      <c r="I16" s="63"/>
    </row>
    <row r="17" spans="1:9" x14ac:dyDescent="0.2">
      <c r="A17" s="147"/>
      <c r="B17" s="133" t="s">
        <v>3</v>
      </c>
      <c r="C17" s="133"/>
      <c r="D17" s="136"/>
      <c r="E17" s="70">
        <f>SUM(E15:E16)</f>
        <v>396175</v>
      </c>
      <c r="F17" s="70">
        <f t="shared" si="3"/>
        <v>39617.5</v>
      </c>
      <c r="G17" s="70">
        <f t="shared" si="4"/>
        <v>6338.8</v>
      </c>
      <c r="H17" s="70">
        <f>(G17+F17+E17)*23</f>
        <v>10169019.9</v>
      </c>
      <c r="I17" s="64"/>
    </row>
    <row r="18" spans="1:9" x14ac:dyDescent="0.2">
      <c r="A18" s="147"/>
      <c r="B18" s="5" t="s">
        <v>15</v>
      </c>
      <c r="C18" s="6">
        <v>0.12</v>
      </c>
      <c r="D18" s="136"/>
      <c r="E18" s="70">
        <f>(E4*C18)</f>
        <v>77322</v>
      </c>
      <c r="F18" s="70">
        <f t="shared" si="3"/>
        <v>7732.2000000000007</v>
      </c>
      <c r="G18" s="70">
        <f t="shared" si="4"/>
        <v>1237.152</v>
      </c>
      <c r="H18" s="70">
        <f t="shared" ref="H18:H24" si="5">(G18+F18+E18)*23</f>
        <v>1984701.0959999999</v>
      </c>
      <c r="I18" s="64"/>
    </row>
    <row r="19" spans="1:9" x14ac:dyDescent="0.2">
      <c r="A19" s="147"/>
      <c r="B19" s="5" t="s">
        <v>16</v>
      </c>
      <c r="C19" s="6">
        <v>1.044E-2</v>
      </c>
      <c r="D19" s="136"/>
      <c r="E19" s="89">
        <f>(E4*C19)</f>
        <v>6727.0140000000001</v>
      </c>
      <c r="F19" s="70">
        <f t="shared" si="3"/>
        <v>672.70140000000004</v>
      </c>
      <c r="G19" s="70">
        <f t="shared" si="4"/>
        <v>107.63222400000001</v>
      </c>
      <c r="H19" s="70">
        <f t="shared" si="5"/>
        <v>172668.995352</v>
      </c>
      <c r="I19" s="64"/>
    </row>
    <row r="20" spans="1:9" ht="25.5" x14ac:dyDescent="0.2">
      <c r="A20" s="147"/>
      <c r="B20" s="5" t="s">
        <v>17</v>
      </c>
      <c r="C20" s="6">
        <v>0.04</v>
      </c>
      <c r="D20" s="136"/>
      <c r="E20" s="70">
        <f>(E4*C20)</f>
        <v>25774</v>
      </c>
      <c r="F20" s="70">
        <f t="shared" si="3"/>
        <v>2577.4</v>
      </c>
      <c r="G20" s="70">
        <f t="shared" si="4"/>
        <v>412.38400000000001</v>
      </c>
      <c r="H20" s="70">
        <f t="shared" si="5"/>
        <v>661567.03200000001</v>
      </c>
      <c r="I20" s="64"/>
    </row>
    <row r="21" spans="1:9" x14ac:dyDescent="0.2">
      <c r="A21" s="147"/>
      <c r="B21" s="5" t="s">
        <v>18</v>
      </c>
      <c r="C21" s="67">
        <v>8.3299999999999999E-2</v>
      </c>
      <c r="D21" s="136"/>
      <c r="E21" s="70">
        <f>(E17*C21)</f>
        <v>33001.377500000002</v>
      </c>
      <c r="F21" s="70">
        <f t="shared" si="3"/>
        <v>3300.1377500000003</v>
      </c>
      <c r="G21" s="70">
        <f t="shared" si="4"/>
        <v>528.02204000000006</v>
      </c>
      <c r="H21" s="70">
        <f t="shared" si="5"/>
        <v>847079.35767000006</v>
      </c>
      <c r="I21" s="64"/>
    </row>
    <row r="22" spans="1:9" x14ac:dyDescent="0.2">
      <c r="A22" s="147"/>
      <c r="B22" s="5" t="s">
        <v>19</v>
      </c>
      <c r="C22" s="6">
        <v>0.01</v>
      </c>
      <c r="D22" s="136"/>
      <c r="E22" s="70">
        <f>(E17*C22)</f>
        <v>3961.75</v>
      </c>
      <c r="F22" s="70">
        <f t="shared" si="3"/>
        <v>396.17500000000001</v>
      </c>
      <c r="G22" s="70">
        <f t="shared" si="4"/>
        <v>63.388000000000005</v>
      </c>
      <c r="H22" s="70">
        <f t="shared" si="5"/>
        <v>101690.19900000001</v>
      </c>
      <c r="I22" s="64"/>
    </row>
    <row r="23" spans="1:9" ht="40.5" customHeight="1" x14ac:dyDescent="0.2">
      <c r="A23" s="147"/>
      <c r="B23" s="63" t="s">
        <v>20</v>
      </c>
      <c r="C23" s="67">
        <v>8.3299999999999999E-2</v>
      </c>
      <c r="D23" s="136"/>
      <c r="E23" s="90">
        <f>(E17*C23)</f>
        <v>33001.377500000002</v>
      </c>
      <c r="F23" s="70">
        <f t="shared" si="3"/>
        <v>3300.1377500000003</v>
      </c>
      <c r="G23" s="70">
        <f t="shared" si="4"/>
        <v>528.02204000000006</v>
      </c>
      <c r="H23" s="70">
        <f t="shared" si="5"/>
        <v>847079.35767000006</v>
      </c>
      <c r="I23" s="64"/>
    </row>
    <row r="24" spans="1:9" x14ac:dyDescent="0.2">
      <c r="A24" s="147"/>
      <c r="B24" s="63" t="s">
        <v>21</v>
      </c>
      <c r="C24" s="67">
        <v>4.1700000000000001E-2</v>
      </c>
      <c r="D24" s="136"/>
      <c r="E24" s="90">
        <f>(E15*C24)</f>
        <v>13434.6975</v>
      </c>
      <c r="F24" s="70">
        <f t="shared" si="3"/>
        <v>1343.4697500000002</v>
      </c>
      <c r="G24" s="70">
        <f t="shared" si="4"/>
        <v>214.95516000000003</v>
      </c>
      <c r="H24" s="70">
        <f t="shared" si="5"/>
        <v>344841.81543000002</v>
      </c>
      <c r="I24" s="64"/>
    </row>
    <row r="25" spans="1:9" x14ac:dyDescent="0.2">
      <c r="A25" s="148"/>
      <c r="B25" s="128" t="s">
        <v>3</v>
      </c>
      <c r="C25" s="129"/>
      <c r="D25" s="129"/>
      <c r="E25" s="129"/>
      <c r="F25" s="129"/>
      <c r="G25" s="130"/>
      <c r="H25" s="88">
        <f>SUM(H17:H24)</f>
        <v>15128647.753121998</v>
      </c>
      <c r="I25" s="64"/>
    </row>
    <row r="26" spans="1:9" ht="24.75" customHeight="1" x14ac:dyDescent="0.2">
      <c r="A26" s="143" t="s">
        <v>22</v>
      </c>
      <c r="B26" s="133" t="s">
        <v>13</v>
      </c>
      <c r="C26" s="133"/>
      <c r="D26" s="136">
        <v>1</v>
      </c>
      <c r="E26" s="70">
        <v>322175</v>
      </c>
      <c r="F26" s="81">
        <f>(E26*10%)</f>
        <v>32217.5</v>
      </c>
      <c r="G26" s="81" t="s">
        <v>207</v>
      </c>
      <c r="H26" s="81">
        <f>(E26+F26)</f>
        <v>354392.5</v>
      </c>
      <c r="I26" s="66"/>
    </row>
    <row r="27" spans="1:9" x14ac:dyDescent="0.2">
      <c r="A27" s="144"/>
      <c r="B27" s="133" t="s">
        <v>14</v>
      </c>
      <c r="C27" s="133"/>
      <c r="D27" s="136"/>
      <c r="E27" s="70">
        <v>74000</v>
      </c>
      <c r="F27" s="81">
        <f t="shared" ref="F27:F35" si="6">(E27*10%)</f>
        <v>7400</v>
      </c>
      <c r="G27" s="81" t="s">
        <v>207</v>
      </c>
      <c r="H27" s="81">
        <f t="shared" ref="H27:H35" si="7">(E27+F27)</f>
        <v>81400</v>
      </c>
      <c r="I27" s="63"/>
    </row>
    <row r="28" spans="1:9" ht="24" customHeight="1" x14ac:dyDescent="0.2">
      <c r="A28" s="144"/>
      <c r="B28" s="133" t="s">
        <v>3</v>
      </c>
      <c r="C28" s="133"/>
      <c r="D28" s="136"/>
      <c r="E28" s="81">
        <f>SUM(E26:E27)</f>
        <v>396175</v>
      </c>
      <c r="F28" s="81">
        <f t="shared" si="6"/>
        <v>39617.5</v>
      </c>
      <c r="G28" s="81" t="s">
        <v>207</v>
      </c>
      <c r="H28" s="81">
        <f t="shared" si="7"/>
        <v>435792.5</v>
      </c>
      <c r="I28" s="63"/>
    </row>
    <row r="29" spans="1:9" x14ac:dyDescent="0.2">
      <c r="A29" s="144"/>
      <c r="B29" s="5" t="s">
        <v>15</v>
      </c>
      <c r="C29" s="6">
        <v>0.12</v>
      </c>
      <c r="D29" s="136"/>
      <c r="E29" s="70">
        <v>77322</v>
      </c>
      <c r="F29" s="81">
        <f t="shared" si="6"/>
        <v>7732.2000000000007</v>
      </c>
      <c r="G29" s="81" t="s">
        <v>207</v>
      </c>
      <c r="H29" s="81">
        <f t="shared" si="7"/>
        <v>85054.2</v>
      </c>
      <c r="I29" s="63"/>
    </row>
    <row r="30" spans="1:9" x14ac:dyDescent="0.2">
      <c r="A30" s="144"/>
      <c r="B30" s="5" t="s">
        <v>16</v>
      </c>
      <c r="C30" s="6">
        <v>10.44</v>
      </c>
      <c r="D30" s="136"/>
      <c r="E30" s="89">
        <v>6727.0140000000001</v>
      </c>
      <c r="F30" s="81">
        <f t="shared" si="6"/>
        <v>672.70140000000004</v>
      </c>
      <c r="G30" s="81" t="s">
        <v>207</v>
      </c>
      <c r="H30" s="81">
        <f t="shared" si="7"/>
        <v>7399.7154</v>
      </c>
      <c r="I30" s="8"/>
    </row>
    <row r="31" spans="1:9" ht="24" customHeight="1" x14ac:dyDescent="0.2">
      <c r="A31" s="144"/>
      <c r="B31" s="5" t="s">
        <v>17</v>
      </c>
      <c r="C31" s="6">
        <v>0.04</v>
      </c>
      <c r="D31" s="136"/>
      <c r="E31" s="70">
        <v>25774</v>
      </c>
      <c r="F31" s="81">
        <f t="shared" si="6"/>
        <v>2577.4</v>
      </c>
      <c r="G31" s="81" t="s">
        <v>207</v>
      </c>
      <c r="H31" s="81">
        <f t="shared" si="7"/>
        <v>28351.4</v>
      </c>
      <c r="I31" s="63"/>
    </row>
    <row r="32" spans="1:9" x14ac:dyDescent="0.2">
      <c r="A32" s="144"/>
      <c r="B32" s="5" t="s">
        <v>18</v>
      </c>
      <c r="C32" s="7" t="s">
        <v>4</v>
      </c>
      <c r="D32" s="136"/>
      <c r="E32" s="70">
        <v>33001.377500000002</v>
      </c>
      <c r="F32" s="81">
        <f t="shared" si="6"/>
        <v>3300.1377500000003</v>
      </c>
      <c r="G32" s="81" t="s">
        <v>207</v>
      </c>
      <c r="H32" s="81">
        <f t="shared" si="7"/>
        <v>36301.515250000004</v>
      </c>
      <c r="I32" s="64"/>
    </row>
    <row r="33" spans="1:9" ht="24" customHeight="1" x14ac:dyDescent="0.2">
      <c r="A33" s="144"/>
      <c r="B33" s="5" t="s">
        <v>19</v>
      </c>
      <c r="C33" s="6">
        <v>0.01</v>
      </c>
      <c r="D33" s="136"/>
      <c r="E33" s="70">
        <v>3961.75</v>
      </c>
      <c r="F33" s="81">
        <f t="shared" si="6"/>
        <v>396.17500000000001</v>
      </c>
      <c r="G33" s="81" t="s">
        <v>207</v>
      </c>
      <c r="H33" s="81">
        <f t="shared" si="7"/>
        <v>4357.9250000000002</v>
      </c>
      <c r="I33" s="65"/>
    </row>
    <row r="34" spans="1:9" ht="37.5" customHeight="1" x14ac:dyDescent="0.2">
      <c r="A34" s="144"/>
      <c r="B34" s="63" t="s">
        <v>20</v>
      </c>
      <c r="C34" s="64" t="s">
        <v>5</v>
      </c>
      <c r="D34" s="136"/>
      <c r="E34" s="90">
        <v>33001.377500000002</v>
      </c>
      <c r="F34" s="81">
        <f t="shared" si="6"/>
        <v>3300.1377500000003</v>
      </c>
      <c r="G34" s="81" t="s">
        <v>207</v>
      </c>
      <c r="H34" s="81">
        <f t="shared" si="7"/>
        <v>36301.515250000004</v>
      </c>
      <c r="I34" s="64"/>
    </row>
    <row r="35" spans="1:9" x14ac:dyDescent="0.2">
      <c r="A35" s="144"/>
      <c r="B35" s="63" t="s">
        <v>21</v>
      </c>
      <c r="C35" s="64" t="s">
        <v>6</v>
      </c>
      <c r="D35" s="136"/>
      <c r="E35" s="90">
        <v>13434.6975</v>
      </c>
      <c r="F35" s="81">
        <f t="shared" si="6"/>
        <v>1343.4697500000002</v>
      </c>
      <c r="G35" s="81" t="s">
        <v>207</v>
      </c>
      <c r="H35" s="81">
        <f t="shared" si="7"/>
        <v>14778.16725</v>
      </c>
      <c r="I35" s="2"/>
    </row>
    <row r="36" spans="1:9" ht="35.25" customHeight="1" x14ac:dyDescent="0.2">
      <c r="A36" s="145"/>
      <c r="B36" s="128" t="s">
        <v>3</v>
      </c>
      <c r="C36" s="129"/>
      <c r="D36" s="129"/>
      <c r="E36" s="129"/>
      <c r="F36" s="129"/>
      <c r="G36" s="130"/>
      <c r="H36" s="91">
        <f>SUM(H28:H35)</f>
        <v>648336.93815000029</v>
      </c>
      <c r="I36" s="64"/>
    </row>
    <row r="37" spans="1:9" x14ac:dyDescent="0.2">
      <c r="A37" s="135" t="s">
        <v>1</v>
      </c>
      <c r="B37" s="133" t="s">
        <v>13</v>
      </c>
      <c r="C37" s="133"/>
      <c r="D37" s="131">
        <v>1</v>
      </c>
      <c r="E37" s="92">
        <v>966525</v>
      </c>
      <c r="F37" s="91">
        <f>(E37*10%)</f>
        <v>96652.5</v>
      </c>
      <c r="G37" s="91">
        <f>(F37*16%)</f>
        <v>15464.4</v>
      </c>
      <c r="H37" s="91">
        <f>(E37+F37+G37)</f>
        <v>1078641.8999999999</v>
      </c>
      <c r="I37" s="2"/>
    </row>
    <row r="38" spans="1:9" x14ac:dyDescent="0.2">
      <c r="A38" s="135"/>
      <c r="B38" s="133" t="s">
        <v>14</v>
      </c>
      <c r="C38" s="133"/>
      <c r="D38" s="132"/>
      <c r="E38" s="92">
        <v>74000</v>
      </c>
      <c r="F38" s="91">
        <f t="shared" ref="F38:F46" si="8">(E38*10%)</f>
        <v>7400</v>
      </c>
      <c r="G38" s="91">
        <f t="shared" ref="G38:G46" si="9">(F38*16%)</f>
        <v>1184</v>
      </c>
      <c r="H38" s="91">
        <f t="shared" ref="H38:H46" si="10">(E38+F38+G38)</f>
        <v>82584</v>
      </c>
      <c r="I38" s="2"/>
    </row>
    <row r="39" spans="1:9" x14ac:dyDescent="0.2">
      <c r="A39" s="135"/>
      <c r="B39" s="133" t="s">
        <v>3</v>
      </c>
      <c r="C39" s="133"/>
      <c r="D39" s="132"/>
      <c r="E39" s="92">
        <f>SUM(E37:E38)</f>
        <v>1040525</v>
      </c>
      <c r="F39" s="91">
        <f t="shared" si="8"/>
        <v>104052.5</v>
      </c>
      <c r="G39" s="91">
        <f t="shared" si="9"/>
        <v>16648.400000000001</v>
      </c>
      <c r="H39" s="91">
        <f t="shared" si="10"/>
        <v>1161225.8999999999</v>
      </c>
      <c r="I39" s="2"/>
    </row>
    <row r="40" spans="1:9" x14ac:dyDescent="0.2">
      <c r="A40" s="135"/>
      <c r="B40" s="5" t="s">
        <v>15</v>
      </c>
      <c r="C40" s="6">
        <v>0.12</v>
      </c>
      <c r="D40" s="132"/>
      <c r="E40" s="91">
        <f>(E37*C40)</f>
        <v>115983</v>
      </c>
      <c r="F40" s="91">
        <f t="shared" si="8"/>
        <v>11598.300000000001</v>
      </c>
      <c r="G40" s="91">
        <f t="shared" si="9"/>
        <v>1855.7280000000003</v>
      </c>
      <c r="H40" s="91">
        <f t="shared" si="10"/>
        <v>129437.02800000001</v>
      </c>
      <c r="I40" s="2"/>
    </row>
    <row r="41" spans="1:9" x14ac:dyDescent="0.2">
      <c r="A41" s="135"/>
      <c r="B41" s="5" t="s">
        <v>16</v>
      </c>
      <c r="C41" s="6">
        <v>1.044E-2</v>
      </c>
      <c r="D41" s="132"/>
      <c r="E41" s="91">
        <f>(E37*C41)</f>
        <v>10090.520999999999</v>
      </c>
      <c r="F41" s="91">
        <f t="shared" si="8"/>
        <v>1009.0520999999999</v>
      </c>
      <c r="G41" s="91">
        <f t="shared" si="9"/>
        <v>161.44833599999998</v>
      </c>
      <c r="H41" s="91">
        <f t="shared" si="10"/>
        <v>11261.021435999997</v>
      </c>
      <c r="I41" s="2"/>
    </row>
    <row r="42" spans="1:9" ht="24" customHeight="1" x14ac:dyDescent="0.2">
      <c r="A42" s="135"/>
      <c r="B42" s="5" t="s">
        <v>17</v>
      </c>
      <c r="C42" s="6">
        <v>0.04</v>
      </c>
      <c r="D42" s="132"/>
      <c r="E42" s="91">
        <f>(E37*C42)</f>
        <v>38661</v>
      </c>
      <c r="F42" s="91">
        <f t="shared" si="8"/>
        <v>3866.1000000000004</v>
      </c>
      <c r="G42" s="91">
        <f t="shared" si="9"/>
        <v>618.57600000000002</v>
      </c>
      <c r="H42" s="91">
        <f t="shared" si="10"/>
        <v>43145.675999999999</v>
      </c>
      <c r="I42" s="2"/>
    </row>
    <row r="43" spans="1:9" x14ac:dyDescent="0.2">
      <c r="A43" s="135"/>
      <c r="B43" s="5" t="s">
        <v>18</v>
      </c>
      <c r="C43" s="67">
        <v>8.3299999999999999E-2</v>
      </c>
      <c r="D43" s="132"/>
      <c r="E43" s="91">
        <f>(E39*C43)</f>
        <v>86675.732499999998</v>
      </c>
      <c r="F43" s="91">
        <f t="shared" si="8"/>
        <v>8667.5732499999995</v>
      </c>
      <c r="G43" s="91">
        <f t="shared" si="9"/>
        <v>1386.8117199999999</v>
      </c>
      <c r="H43" s="91">
        <f t="shared" si="10"/>
        <v>96730.117469999997</v>
      </c>
      <c r="I43" s="2"/>
    </row>
    <row r="44" spans="1:9" x14ac:dyDescent="0.2">
      <c r="A44" s="135"/>
      <c r="B44" s="5" t="s">
        <v>19</v>
      </c>
      <c r="C44" s="6">
        <v>0.01</v>
      </c>
      <c r="D44" s="132"/>
      <c r="E44" s="91">
        <f>(E39*C44)</f>
        <v>10405.25</v>
      </c>
      <c r="F44" s="91">
        <f t="shared" si="8"/>
        <v>1040.5250000000001</v>
      </c>
      <c r="G44" s="91">
        <f t="shared" si="9"/>
        <v>166.48400000000001</v>
      </c>
      <c r="H44" s="91">
        <f t="shared" si="10"/>
        <v>11612.259</v>
      </c>
      <c r="I44" s="2"/>
    </row>
    <row r="45" spans="1:9" ht="24" customHeight="1" x14ac:dyDescent="0.2">
      <c r="A45" s="135"/>
      <c r="B45" s="63" t="s">
        <v>20</v>
      </c>
      <c r="C45" s="67">
        <v>8.3299999999999999E-2</v>
      </c>
      <c r="D45" s="132"/>
      <c r="E45" s="91">
        <f>(E39*C45)</f>
        <v>86675.732499999998</v>
      </c>
      <c r="F45" s="91">
        <f t="shared" si="8"/>
        <v>8667.5732499999995</v>
      </c>
      <c r="G45" s="91">
        <f t="shared" si="9"/>
        <v>1386.8117199999999</v>
      </c>
      <c r="H45" s="91">
        <f t="shared" si="10"/>
        <v>96730.117469999997</v>
      </c>
      <c r="I45" s="2"/>
    </row>
    <row r="46" spans="1:9" ht="17.25" customHeight="1" x14ac:dyDescent="0.2">
      <c r="A46" s="135"/>
      <c r="B46" s="4" t="s">
        <v>21</v>
      </c>
      <c r="C46" s="67">
        <v>4.1700000000000001E-2</v>
      </c>
      <c r="D46" s="132"/>
      <c r="E46" s="91">
        <f>(E37*C46)</f>
        <v>40304.092499999999</v>
      </c>
      <c r="F46" s="91">
        <f t="shared" si="8"/>
        <v>4030.4092500000002</v>
      </c>
      <c r="G46" s="91">
        <f t="shared" si="9"/>
        <v>644.86548000000005</v>
      </c>
      <c r="H46" s="91">
        <f t="shared" si="10"/>
        <v>44979.367229999996</v>
      </c>
      <c r="I46" s="2"/>
    </row>
    <row r="47" spans="1:9" x14ac:dyDescent="0.2">
      <c r="A47" s="135"/>
      <c r="B47" s="128" t="s">
        <v>10</v>
      </c>
      <c r="C47" s="129"/>
      <c r="D47" s="129"/>
      <c r="E47" s="129"/>
      <c r="F47" s="129"/>
      <c r="G47" s="130"/>
      <c r="H47" s="91">
        <f>(H39+H40+H41+H42+H43+H44+H45+H46)</f>
        <v>1595121.4866059998</v>
      </c>
      <c r="I47" s="64"/>
    </row>
    <row r="48" spans="1:9" ht="16.5" customHeight="1" x14ac:dyDescent="0.2">
      <c r="A48" s="134" t="s">
        <v>11</v>
      </c>
      <c r="B48" s="133" t="s">
        <v>13</v>
      </c>
      <c r="C48" s="133"/>
      <c r="D48" s="131">
        <v>1</v>
      </c>
      <c r="E48" s="91">
        <v>773220</v>
      </c>
      <c r="F48" s="91">
        <f>(E48*10%)</f>
        <v>77322</v>
      </c>
      <c r="G48" s="91">
        <f>(F48*16%)</f>
        <v>12371.52</v>
      </c>
      <c r="H48" s="91">
        <f>(E48+F48+G48)</f>
        <v>862913.52</v>
      </c>
      <c r="I48" s="2"/>
    </row>
    <row r="49" spans="1:9" x14ac:dyDescent="0.2">
      <c r="A49" s="134"/>
      <c r="B49" s="133" t="s">
        <v>14</v>
      </c>
      <c r="C49" s="133"/>
      <c r="D49" s="132"/>
      <c r="E49" s="91">
        <v>74000</v>
      </c>
      <c r="F49" s="91">
        <f t="shared" ref="F49:F57" si="11">(E49*10%)</f>
        <v>7400</v>
      </c>
      <c r="G49" s="91">
        <f t="shared" ref="G49:G57" si="12">(F49*16%)</f>
        <v>1184</v>
      </c>
      <c r="H49" s="91">
        <f t="shared" ref="H49:H57" si="13">(E49+F49+G49)</f>
        <v>82584</v>
      </c>
      <c r="I49" s="2"/>
    </row>
    <row r="50" spans="1:9" ht="15" customHeight="1" x14ac:dyDescent="0.2">
      <c r="A50" s="134"/>
      <c r="B50" s="133" t="s">
        <v>3</v>
      </c>
      <c r="C50" s="133"/>
      <c r="D50" s="132"/>
      <c r="E50" s="91">
        <f>SUM(E48:E49)</f>
        <v>847220</v>
      </c>
      <c r="F50" s="91">
        <f t="shared" si="11"/>
        <v>84722</v>
      </c>
      <c r="G50" s="91">
        <f t="shared" si="12"/>
        <v>13555.52</v>
      </c>
      <c r="H50" s="91">
        <f t="shared" si="13"/>
        <v>945497.52</v>
      </c>
      <c r="I50" s="2"/>
    </row>
    <row r="51" spans="1:9" x14ac:dyDescent="0.2">
      <c r="A51" s="134"/>
      <c r="B51" s="5" t="s">
        <v>15</v>
      </c>
      <c r="C51" s="6">
        <v>0.12</v>
      </c>
      <c r="D51" s="132"/>
      <c r="E51" s="91">
        <f>(E48*C51)</f>
        <v>92786.4</v>
      </c>
      <c r="F51" s="91">
        <f t="shared" si="11"/>
        <v>9278.64</v>
      </c>
      <c r="G51" s="91">
        <f t="shared" si="12"/>
        <v>1484.5824</v>
      </c>
      <c r="H51" s="91">
        <f t="shared" si="13"/>
        <v>103549.62239999999</v>
      </c>
      <c r="I51" s="2"/>
    </row>
    <row r="52" spans="1:9" x14ac:dyDescent="0.2">
      <c r="A52" s="134"/>
      <c r="B52" s="5" t="s">
        <v>16</v>
      </c>
      <c r="C52" s="6">
        <v>1.044E-2</v>
      </c>
      <c r="D52" s="132"/>
      <c r="E52" s="91">
        <f>(E48*C52)</f>
        <v>8072.4168</v>
      </c>
      <c r="F52" s="91">
        <f t="shared" si="11"/>
        <v>807.24168000000009</v>
      </c>
      <c r="G52" s="91">
        <f t="shared" si="12"/>
        <v>129.15866880000002</v>
      </c>
      <c r="H52" s="91">
        <f t="shared" si="13"/>
        <v>9008.8171488000007</v>
      </c>
      <c r="I52" s="2"/>
    </row>
    <row r="53" spans="1:9" ht="25.5" x14ac:dyDescent="0.2">
      <c r="A53" s="134"/>
      <c r="B53" s="5" t="s">
        <v>17</v>
      </c>
      <c r="C53" s="6">
        <v>0.04</v>
      </c>
      <c r="D53" s="132"/>
      <c r="E53" s="91">
        <f>(E48*C53)</f>
        <v>30928.799999999999</v>
      </c>
      <c r="F53" s="91">
        <f t="shared" si="11"/>
        <v>3092.88</v>
      </c>
      <c r="G53" s="91">
        <f t="shared" si="12"/>
        <v>494.86080000000004</v>
      </c>
      <c r="H53" s="91">
        <f t="shared" si="13"/>
        <v>34516.540800000002</v>
      </c>
      <c r="I53" s="2"/>
    </row>
    <row r="54" spans="1:9" x14ac:dyDescent="0.2">
      <c r="A54" s="134"/>
      <c r="B54" s="5" t="s">
        <v>18</v>
      </c>
      <c r="C54" s="67">
        <v>8.3299999999999999E-2</v>
      </c>
      <c r="D54" s="132"/>
      <c r="E54" s="91">
        <f>(E50*C54)</f>
        <v>70573.425999999992</v>
      </c>
      <c r="F54" s="91">
        <f t="shared" si="11"/>
        <v>7057.3425999999999</v>
      </c>
      <c r="G54" s="91">
        <f t="shared" si="12"/>
        <v>1129.174816</v>
      </c>
      <c r="H54" s="91">
        <f t="shared" si="13"/>
        <v>78759.943415999995</v>
      </c>
      <c r="I54" s="2"/>
    </row>
    <row r="55" spans="1:9" ht="30" customHeight="1" x14ac:dyDescent="0.2">
      <c r="A55" s="134"/>
      <c r="B55" s="5" t="s">
        <v>19</v>
      </c>
      <c r="C55" s="6">
        <v>0.01</v>
      </c>
      <c r="D55" s="132"/>
      <c r="E55" s="91">
        <f>(E50*C55)</f>
        <v>8472.2000000000007</v>
      </c>
      <c r="F55" s="91">
        <f t="shared" si="11"/>
        <v>847.22000000000014</v>
      </c>
      <c r="G55" s="91">
        <f t="shared" si="12"/>
        <v>135.55520000000001</v>
      </c>
      <c r="H55" s="91">
        <f t="shared" si="13"/>
        <v>9454.9752000000008</v>
      </c>
      <c r="I55" s="2"/>
    </row>
    <row r="56" spans="1:9" ht="39" customHeight="1" x14ac:dyDescent="0.2">
      <c r="A56" s="134"/>
      <c r="B56" s="63" t="s">
        <v>20</v>
      </c>
      <c r="C56" s="67">
        <v>8.3299999999999999E-2</v>
      </c>
      <c r="D56" s="132"/>
      <c r="E56" s="91">
        <f>(E50*C56)</f>
        <v>70573.425999999992</v>
      </c>
      <c r="F56" s="91">
        <f t="shared" si="11"/>
        <v>7057.3425999999999</v>
      </c>
      <c r="G56" s="91">
        <f t="shared" si="12"/>
        <v>1129.174816</v>
      </c>
      <c r="H56" s="91">
        <f t="shared" si="13"/>
        <v>78759.943415999995</v>
      </c>
      <c r="I56" s="64"/>
    </row>
    <row r="57" spans="1:9" x14ac:dyDescent="0.2">
      <c r="A57" s="134"/>
      <c r="B57" s="63" t="s">
        <v>21</v>
      </c>
      <c r="C57" s="67">
        <v>4.1700000000000001E-2</v>
      </c>
      <c r="D57" s="132"/>
      <c r="E57" s="91">
        <f>(E48*C57)</f>
        <v>32243.274000000001</v>
      </c>
      <c r="F57" s="91">
        <f t="shared" si="11"/>
        <v>3224.3274000000001</v>
      </c>
      <c r="G57" s="91">
        <f t="shared" si="12"/>
        <v>515.89238399999999</v>
      </c>
      <c r="H57" s="91">
        <f t="shared" si="13"/>
        <v>35983.493783999998</v>
      </c>
      <c r="I57" s="2"/>
    </row>
    <row r="58" spans="1:9" x14ac:dyDescent="0.2">
      <c r="A58" s="134"/>
      <c r="B58" s="128" t="s">
        <v>10</v>
      </c>
      <c r="C58" s="129"/>
      <c r="D58" s="129"/>
      <c r="E58" s="129"/>
      <c r="F58" s="129"/>
      <c r="G58" s="130"/>
      <c r="H58" s="91">
        <f>(H50+H51+H52+H53+H54+H55+H56+H57)</f>
        <v>1295530.8561648002</v>
      </c>
      <c r="I58" s="64"/>
    </row>
    <row r="59" spans="1:9" x14ac:dyDescent="0.2">
      <c r="A59" s="134" t="s">
        <v>12</v>
      </c>
      <c r="B59" s="133" t="s">
        <v>13</v>
      </c>
      <c r="C59" s="133"/>
      <c r="D59" s="131">
        <v>1</v>
      </c>
      <c r="E59" s="91">
        <v>644350</v>
      </c>
      <c r="F59" s="91">
        <f t="shared" ref="F59:F68" si="14">(E59*10%)</f>
        <v>64435</v>
      </c>
      <c r="G59" s="91">
        <f>(F59*16%)</f>
        <v>10309.6</v>
      </c>
      <c r="H59" s="91">
        <f>(G59+F59+E59)</f>
        <v>719094.6</v>
      </c>
      <c r="I59" s="2"/>
    </row>
    <row r="60" spans="1:9" x14ac:dyDescent="0.2">
      <c r="A60" s="134"/>
      <c r="B60" s="133" t="s">
        <v>14</v>
      </c>
      <c r="C60" s="133"/>
      <c r="D60" s="132"/>
      <c r="E60" s="91">
        <v>74000</v>
      </c>
      <c r="F60" s="91">
        <f t="shared" si="14"/>
        <v>7400</v>
      </c>
      <c r="G60" s="91">
        <f>(F60*16%)</f>
        <v>1184</v>
      </c>
      <c r="H60" s="91">
        <f>(G60+F60+E60)</f>
        <v>82584</v>
      </c>
      <c r="I60" s="2"/>
    </row>
    <row r="61" spans="1:9" x14ac:dyDescent="0.2">
      <c r="A61" s="134"/>
      <c r="B61" s="133" t="s">
        <v>3</v>
      </c>
      <c r="C61" s="133"/>
      <c r="D61" s="132"/>
      <c r="E61" s="91">
        <f>SUM(E59:E60)</f>
        <v>718350</v>
      </c>
      <c r="F61" s="91">
        <f t="shared" si="14"/>
        <v>71835</v>
      </c>
      <c r="G61" s="91">
        <f>(F61*16%)</f>
        <v>11493.6</v>
      </c>
      <c r="H61" s="91">
        <f>(G61+F61+E61)</f>
        <v>801678.6</v>
      </c>
      <c r="I61" s="2"/>
    </row>
    <row r="62" spans="1:9" x14ac:dyDescent="0.2">
      <c r="A62" s="134"/>
      <c r="B62" s="5" t="s">
        <v>15</v>
      </c>
      <c r="C62" s="6">
        <v>0.12</v>
      </c>
      <c r="D62" s="132"/>
      <c r="E62" s="91">
        <f>(E59*C62)</f>
        <v>77322</v>
      </c>
      <c r="F62" s="91">
        <f t="shared" si="14"/>
        <v>7732.2000000000007</v>
      </c>
      <c r="G62" s="91">
        <f t="shared" ref="G62:G68" si="15">(F62*16%)</f>
        <v>1237.152</v>
      </c>
      <c r="H62" s="91">
        <f t="shared" ref="H62:H68" si="16">(E62+F62+G62)</f>
        <v>86291.351999999999</v>
      </c>
      <c r="I62" s="2"/>
    </row>
    <row r="63" spans="1:9" x14ac:dyDescent="0.2">
      <c r="A63" s="134"/>
      <c r="B63" s="5" t="s">
        <v>16</v>
      </c>
      <c r="C63" s="6">
        <v>1.044E-2</v>
      </c>
      <c r="D63" s="132"/>
      <c r="E63" s="91">
        <f>(E59*C63)</f>
        <v>6727.0140000000001</v>
      </c>
      <c r="F63" s="91">
        <f t="shared" si="14"/>
        <v>672.70140000000004</v>
      </c>
      <c r="G63" s="91">
        <f t="shared" si="15"/>
        <v>107.63222400000001</v>
      </c>
      <c r="H63" s="91">
        <f t="shared" si="16"/>
        <v>7507.347624</v>
      </c>
      <c r="I63" s="2"/>
    </row>
    <row r="64" spans="1:9" ht="25.5" x14ac:dyDescent="0.2">
      <c r="A64" s="134"/>
      <c r="B64" s="5" t="s">
        <v>17</v>
      </c>
      <c r="C64" s="6">
        <v>0.04</v>
      </c>
      <c r="D64" s="132"/>
      <c r="E64" s="91">
        <f>(E59*C64)</f>
        <v>25774</v>
      </c>
      <c r="F64" s="91">
        <f t="shared" si="14"/>
        <v>2577.4</v>
      </c>
      <c r="G64" s="91">
        <f t="shared" si="15"/>
        <v>412.38400000000001</v>
      </c>
      <c r="H64" s="91">
        <f t="shared" si="16"/>
        <v>28763.784</v>
      </c>
      <c r="I64" s="2"/>
    </row>
    <row r="65" spans="1:9" x14ac:dyDescent="0.2">
      <c r="A65" s="134"/>
      <c r="B65" s="5" t="s">
        <v>18</v>
      </c>
      <c r="C65" s="67">
        <v>8.3299999999999999E-2</v>
      </c>
      <c r="D65" s="132"/>
      <c r="E65" s="91">
        <f>(E61*C65)</f>
        <v>59838.555</v>
      </c>
      <c r="F65" s="91">
        <f t="shared" si="14"/>
        <v>5983.8555000000006</v>
      </c>
      <c r="G65" s="91">
        <f t="shared" si="15"/>
        <v>957.41688000000011</v>
      </c>
      <c r="H65" s="91">
        <f t="shared" si="16"/>
        <v>66779.827380000002</v>
      </c>
      <c r="I65" s="2"/>
    </row>
    <row r="66" spans="1:9" x14ac:dyDescent="0.2">
      <c r="A66" s="134"/>
      <c r="B66" s="5" t="s">
        <v>19</v>
      </c>
      <c r="C66" s="6">
        <v>0.01</v>
      </c>
      <c r="D66" s="132"/>
      <c r="E66" s="91">
        <f>(E61*C66)</f>
        <v>7183.5</v>
      </c>
      <c r="F66" s="91">
        <f t="shared" si="14"/>
        <v>718.35</v>
      </c>
      <c r="G66" s="91">
        <f t="shared" si="15"/>
        <v>114.93600000000001</v>
      </c>
      <c r="H66" s="91">
        <f t="shared" si="16"/>
        <v>8016.7860000000001</v>
      </c>
      <c r="I66" s="2"/>
    </row>
    <row r="67" spans="1:9" ht="24.75" customHeight="1" x14ac:dyDescent="0.2">
      <c r="A67" s="134"/>
      <c r="B67" s="63" t="s">
        <v>20</v>
      </c>
      <c r="C67" s="67">
        <v>8.3299999999999999E-2</v>
      </c>
      <c r="D67" s="132"/>
      <c r="E67" s="91">
        <f>(E61*C67)</f>
        <v>59838.555</v>
      </c>
      <c r="F67" s="91">
        <f t="shared" si="14"/>
        <v>5983.8555000000006</v>
      </c>
      <c r="G67" s="91">
        <f t="shared" si="15"/>
        <v>957.41688000000011</v>
      </c>
      <c r="H67" s="91">
        <f t="shared" si="16"/>
        <v>66779.827380000002</v>
      </c>
      <c r="I67" s="2"/>
    </row>
    <row r="68" spans="1:9" x14ac:dyDescent="0.2">
      <c r="A68" s="134"/>
      <c r="B68" s="63" t="s">
        <v>21</v>
      </c>
      <c r="C68" s="67">
        <v>4.1700000000000001E-2</v>
      </c>
      <c r="D68" s="132"/>
      <c r="E68" s="91">
        <f>(E59*C68)</f>
        <v>26869.395</v>
      </c>
      <c r="F68" s="91">
        <f t="shared" si="14"/>
        <v>2686.9395000000004</v>
      </c>
      <c r="G68" s="91">
        <f t="shared" si="15"/>
        <v>429.91032000000007</v>
      </c>
      <c r="H68" s="91">
        <f t="shared" si="16"/>
        <v>29986.24482</v>
      </c>
      <c r="I68" s="2"/>
    </row>
    <row r="69" spans="1:9" x14ac:dyDescent="0.2">
      <c r="A69" s="134"/>
      <c r="B69" s="128" t="s">
        <v>10</v>
      </c>
      <c r="C69" s="129"/>
      <c r="D69" s="129"/>
      <c r="E69" s="129"/>
      <c r="F69" s="129"/>
      <c r="G69" s="130"/>
      <c r="H69" s="91">
        <f>(H61+H62+H63+H64+H65+H66+H67+H68)</f>
        <v>1095803.7692039998</v>
      </c>
      <c r="I69" s="2"/>
    </row>
    <row r="70" spans="1:9" ht="47.25" customHeight="1" x14ac:dyDescent="0.2">
      <c r="B70" s="122" t="s">
        <v>27</v>
      </c>
      <c r="C70" s="122"/>
      <c r="D70" s="122"/>
      <c r="E70" s="122"/>
      <c r="F70" s="122"/>
      <c r="G70" s="122"/>
      <c r="H70" s="91">
        <f>(H5+H16+H27+H38+H49+H60)*8</f>
        <v>28399424</v>
      </c>
      <c r="I70" s="64"/>
    </row>
    <row r="71" spans="1:9" ht="39" customHeight="1" x14ac:dyDescent="0.2">
      <c r="B71" s="122" t="s">
        <v>28</v>
      </c>
      <c r="C71" s="122"/>
      <c r="D71" s="122"/>
      <c r="E71" s="122"/>
      <c r="F71" s="122"/>
      <c r="G71" s="122"/>
      <c r="H71" s="91">
        <f>(H4+H7+H8+H9+H10+H11+H12+H13+H15+H18+H19+H20+H21+H22+H23+H24+H26+H29+H30+H31+H32+H33+H34+H35+H37+H40+H41+H42+H43+H44+H45+H46+H48+H51+H52+H53+H54+H55+H56+H57+H59+H62+H63+H64+H65+H66+H67+H68)*8</f>
        <v>269970984.88408649</v>
      </c>
      <c r="I71" s="64"/>
    </row>
    <row r="72" spans="1:9" ht="39" customHeight="1" x14ac:dyDescent="0.2">
      <c r="B72" s="122" t="s">
        <v>200</v>
      </c>
      <c r="C72" s="122"/>
      <c r="D72" s="122"/>
      <c r="E72" s="122"/>
      <c r="F72" s="122"/>
      <c r="G72" s="122"/>
      <c r="H72" s="91">
        <v>7731000</v>
      </c>
      <c r="I72" s="2"/>
    </row>
    <row r="73" spans="1:9" ht="41.25" customHeight="1" x14ac:dyDescent="0.2">
      <c r="B73" s="122" t="s">
        <v>26</v>
      </c>
      <c r="C73" s="122"/>
      <c r="D73" s="122"/>
      <c r="E73" s="122"/>
      <c r="F73" s="122"/>
      <c r="G73" s="122"/>
      <c r="H73" s="91">
        <f>(((H70/8)*(2.77/100))+(H70/8))*12</f>
        <v>43779132.067199998</v>
      </c>
      <c r="I73" s="64"/>
    </row>
    <row r="74" spans="1:9" ht="57" customHeight="1" x14ac:dyDescent="0.2">
      <c r="B74" s="122" t="s">
        <v>25</v>
      </c>
      <c r="C74" s="122"/>
      <c r="D74" s="122"/>
      <c r="E74" s="122"/>
      <c r="F74" s="122"/>
      <c r="G74" s="122"/>
      <c r="H74" s="91">
        <f>(((H71/8)*(4.66/100))+(H71/8))*12</f>
        <v>423827449.16952735</v>
      </c>
      <c r="I74" s="64"/>
    </row>
    <row r="75" spans="1:9" ht="57" customHeight="1" x14ac:dyDescent="0.2">
      <c r="B75" s="122" t="s">
        <v>201</v>
      </c>
      <c r="C75" s="122"/>
      <c r="D75" s="122"/>
      <c r="E75" s="122"/>
      <c r="F75" s="122"/>
      <c r="G75" s="122"/>
      <c r="H75" s="91">
        <f>(((H72/8)*(3.66/100))+(H72/8))*12</f>
        <v>12020931.899999999</v>
      </c>
      <c r="I75" s="69"/>
    </row>
    <row r="76" spans="1:9" ht="38.25" customHeight="1" x14ac:dyDescent="0.2">
      <c r="B76" s="122" t="s">
        <v>23</v>
      </c>
      <c r="C76" s="122"/>
      <c r="D76" s="122"/>
      <c r="E76" s="122"/>
      <c r="F76" s="122"/>
      <c r="G76" s="122"/>
      <c r="H76" s="91">
        <f>(((H73/12)*(2.77/100))+(H73/12))*4</f>
        <v>14997271.341820478</v>
      </c>
      <c r="I76" s="64"/>
    </row>
    <row r="77" spans="1:9" ht="43.5" customHeight="1" x14ac:dyDescent="0.2">
      <c r="B77" s="122" t="s">
        <v>24</v>
      </c>
      <c r="C77" s="122"/>
      <c r="D77" s="122"/>
      <c r="E77" s="122"/>
      <c r="F77" s="122"/>
      <c r="G77" s="122"/>
      <c r="H77" s="91">
        <f>(((H74/12)*(4.66/100))+(H74/12))*4</f>
        <v>147859269.4336091</v>
      </c>
      <c r="I77" s="64"/>
    </row>
    <row r="78" spans="1:9" ht="38.25" customHeight="1" x14ac:dyDescent="0.2">
      <c r="B78" s="122" t="s">
        <v>202</v>
      </c>
      <c r="C78" s="122"/>
      <c r="D78" s="122"/>
      <c r="E78" s="122"/>
      <c r="F78" s="122"/>
      <c r="G78" s="122"/>
      <c r="H78" s="91">
        <f>(((H75/12)*(2.77/100))+(H75/12))*4</f>
        <v>4117970.5712099993</v>
      </c>
      <c r="I78" s="64"/>
    </row>
    <row r="79" spans="1:9" ht="38.25" customHeight="1" x14ac:dyDescent="0.2">
      <c r="B79" s="122" t="s">
        <v>191</v>
      </c>
      <c r="C79" s="122"/>
      <c r="D79" s="122"/>
      <c r="E79" s="122"/>
      <c r="F79" s="122"/>
      <c r="G79" s="122"/>
      <c r="H79" s="91">
        <f>SUM(H70:H78)</f>
        <v>952703433.36745346</v>
      </c>
      <c r="I79" s="64"/>
    </row>
    <row r="80" spans="1:9" x14ac:dyDescent="0.2">
      <c r="I80" s="72"/>
    </row>
    <row r="82" spans="1:13" x14ac:dyDescent="0.2">
      <c r="A82" s="123" t="s">
        <v>181</v>
      </c>
      <c r="B82" s="123"/>
      <c r="C82" s="123"/>
      <c r="D82" s="123"/>
      <c r="E82" s="123"/>
      <c r="F82" s="123"/>
      <c r="G82" s="123"/>
      <c r="H82" s="123"/>
    </row>
    <row r="83" spans="1:13" x14ac:dyDescent="0.2">
      <c r="A83" s="123"/>
      <c r="B83" s="123"/>
      <c r="C83" s="123"/>
      <c r="D83" s="123"/>
      <c r="E83" s="123"/>
      <c r="F83" s="123"/>
      <c r="G83" s="123"/>
      <c r="H83" s="123"/>
    </row>
    <row r="84" spans="1:13" x14ac:dyDescent="0.2">
      <c r="A84" s="123"/>
      <c r="B84" s="123"/>
      <c r="C84" s="123"/>
      <c r="D84" s="123"/>
      <c r="E84" s="123"/>
      <c r="F84" s="123"/>
      <c r="G84" s="123"/>
      <c r="H84" s="123"/>
    </row>
    <row r="85" spans="1:13" x14ac:dyDescent="0.2">
      <c r="A85" s="123"/>
      <c r="B85" s="123"/>
      <c r="C85" s="123"/>
      <c r="D85" s="123"/>
      <c r="E85" s="123"/>
      <c r="F85" s="123"/>
      <c r="G85" s="123"/>
      <c r="H85" s="123"/>
    </row>
    <row r="86" spans="1:13" ht="6.75" customHeight="1" x14ac:dyDescent="0.2"/>
    <row r="87" spans="1:13" ht="87.75" customHeight="1" x14ac:dyDescent="0.2">
      <c r="A87" s="49" t="s">
        <v>178</v>
      </c>
      <c r="B87" s="121" t="s">
        <v>179</v>
      </c>
      <c r="C87" s="121"/>
      <c r="D87" s="121"/>
      <c r="E87" s="121"/>
      <c r="F87" s="121"/>
      <c r="G87" s="121"/>
      <c r="H87" s="50" t="s">
        <v>180</v>
      </c>
      <c r="I87" s="48"/>
      <c r="J87" s="48"/>
      <c r="K87" s="48"/>
      <c r="L87" s="48"/>
      <c r="M87" s="48"/>
    </row>
    <row r="88" spans="1:13" ht="42" customHeight="1" x14ac:dyDescent="0.2">
      <c r="A88" s="73"/>
      <c r="B88" s="124"/>
      <c r="C88" s="125"/>
      <c r="D88" s="125"/>
      <c r="E88" s="125"/>
      <c r="F88" s="125"/>
      <c r="G88" s="126"/>
      <c r="H88" s="2"/>
    </row>
    <row r="89" spans="1:13" ht="31.5" customHeight="1" x14ac:dyDescent="0.2">
      <c r="A89" s="127" t="s">
        <v>182</v>
      </c>
      <c r="B89" s="127"/>
      <c r="C89" s="127"/>
      <c r="D89" s="127"/>
      <c r="E89" s="127"/>
      <c r="F89" s="127"/>
      <c r="G89" s="127"/>
      <c r="H89" s="127"/>
    </row>
    <row r="90" spans="1:13" ht="5.25" customHeight="1" x14ac:dyDescent="0.2">
      <c r="A90" s="62"/>
      <c r="B90" s="62"/>
      <c r="C90" s="62"/>
      <c r="D90" s="62"/>
      <c r="E90" s="62"/>
      <c r="F90" s="62"/>
      <c r="G90" s="62"/>
      <c r="H90" s="62"/>
    </row>
    <row r="91" spans="1:13" ht="31.5" customHeight="1" x14ac:dyDescent="0.2">
      <c r="A91" s="121" t="s">
        <v>232</v>
      </c>
      <c r="B91" s="121"/>
      <c r="C91" s="121"/>
      <c r="D91" s="121"/>
      <c r="E91" s="121"/>
      <c r="F91" s="121"/>
      <c r="G91" s="121"/>
      <c r="H91" s="121"/>
      <c r="I91" s="121"/>
    </row>
    <row r="92" spans="1:13" ht="116.25" customHeight="1" x14ac:dyDescent="0.2">
      <c r="A92" s="120" t="s">
        <v>226</v>
      </c>
      <c r="B92" s="120"/>
      <c r="C92" s="120"/>
      <c r="D92" s="120"/>
      <c r="E92" s="120"/>
      <c r="F92" s="120"/>
      <c r="G92" s="120"/>
      <c r="H92" s="120"/>
      <c r="I92" s="120"/>
    </row>
    <row r="93" spans="1:13" ht="87.75" customHeight="1" x14ac:dyDescent="0.2">
      <c r="A93" s="119" t="s">
        <v>213</v>
      </c>
      <c r="B93" s="119"/>
      <c r="C93" s="119"/>
      <c r="D93" s="119"/>
      <c r="E93" s="119"/>
      <c r="F93" s="119"/>
      <c r="G93" s="119"/>
      <c r="H93" s="119"/>
      <c r="I93" s="119"/>
    </row>
    <row r="94" spans="1:13" ht="29.25" customHeight="1" x14ac:dyDescent="0.2">
      <c r="A94" s="119" t="s">
        <v>222</v>
      </c>
      <c r="B94" s="119"/>
      <c r="C94" s="119"/>
      <c r="D94" s="119"/>
      <c r="E94" s="119"/>
      <c r="F94" s="119"/>
      <c r="G94" s="119"/>
      <c r="H94" s="119"/>
      <c r="I94" s="119"/>
    </row>
    <row r="95" spans="1:13" x14ac:dyDescent="0.2">
      <c r="A95" s="137" t="s">
        <v>223</v>
      </c>
      <c r="B95" s="137"/>
      <c r="C95" s="137"/>
      <c r="D95" s="137"/>
      <c r="E95" s="137"/>
      <c r="F95" s="137"/>
      <c r="G95" s="137"/>
      <c r="H95" s="137"/>
      <c r="I95" s="137"/>
    </row>
  </sheetData>
  <mergeCells count="63">
    <mergeCell ref="B6:C6"/>
    <mergeCell ref="A95:I95"/>
    <mergeCell ref="H1:H2"/>
    <mergeCell ref="A1:C2"/>
    <mergeCell ref="F1:F2"/>
    <mergeCell ref="G1:G2"/>
    <mergeCell ref="B3:C3"/>
    <mergeCell ref="A26:A36"/>
    <mergeCell ref="D1:D2"/>
    <mergeCell ref="E1:E2"/>
    <mergeCell ref="D3:D13"/>
    <mergeCell ref="D26:D35"/>
    <mergeCell ref="A4:A14"/>
    <mergeCell ref="B14:G14"/>
    <mergeCell ref="A15:A25"/>
    <mergeCell ref="B15:C15"/>
    <mergeCell ref="B4:C4"/>
    <mergeCell ref="B5:C5"/>
    <mergeCell ref="A59:A69"/>
    <mergeCell ref="A37:A47"/>
    <mergeCell ref="B69:G69"/>
    <mergeCell ref="A48:A58"/>
    <mergeCell ref="B59:C59"/>
    <mergeCell ref="B60:C60"/>
    <mergeCell ref="B61:C61"/>
    <mergeCell ref="B37:C37"/>
    <mergeCell ref="B38:C38"/>
    <mergeCell ref="B39:C39"/>
    <mergeCell ref="D15:D24"/>
    <mergeCell ref="B16:C16"/>
    <mergeCell ref="B17:C17"/>
    <mergeCell ref="B26:C26"/>
    <mergeCell ref="B71:G71"/>
    <mergeCell ref="B72:G72"/>
    <mergeCell ref="B75:G75"/>
    <mergeCell ref="B25:G25"/>
    <mergeCell ref="D37:D46"/>
    <mergeCell ref="D48:D57"/>
    <mergeCell ref="B28:C28"/>
    <mergeCell ref="D59:D68"/>
    <mergeCell ref="B36:G36"/>
    <mergeCell ref="B47:G47"/>
    <mergeCell ref="B58:G58"/>
    <mergeCell ref="B48:C48"/>
    <mergeCell ref="B49:C49"/>
    <mergeCell ref="B50:C50"/>
    <mergeCell ref="B27:C27"/>
    <mergeCell ref="I1:I2"/>
    <mergeCell ref="A93:I93"/>
    <mergeCell ref="A94:I94"/>
    <mergeCell ref="A92:I92"/>
    <mergeCell ref="A91:I91"/>
    <mergeCell ref="B78:G78"/>
    <mergeCell ref="A82:H85"/>
    <mergeCell ref="B87:G87"/>
    <mergeCell ref="B88:G88"/>
    <mergeCell ref="A89:H89"/>
    <mergeCell ref="B79:G79"/>
    <mergeCell ref="B70:G70"/>
    <mergeCell ref="B73:G73"/>
    <mergeCell ref="B74:G74"/>
    <mergeCell ref="B76:G76"/>
    <mergeCell ref="B77:G7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topLeftCell="A13" workbookViewId="0">
      <selection activeCell="B25" sqref="B25"/>
    </sheetView>
  </sheetViews>
  <sheetFormatPr baseColWidth="10" defaultRowHeight="12.75" x14ac:dyDescent="0.2"/>
  <cols>
    <col min="1" max="1" width="62.140625" style="10" customWidth="1"/>
    <col min="2" max="2" width="38.28515625" style="10" customWidth="1"/>
    <col min="3" max="3" width="30.5703125" style="10" customWidth="1"/>
    <col min="4" max="4" width="33.28515625" style="10" customWidth="1"/>
    <col min="5" max="16384" width="11.42578125" style="10"/>
  </cols>
  <sheetData>
    <row r="1" spans="1:11" ht="36.75" customHeight="1" x14ac:dyDescent="0.2">
      <c r="A1" s="58" t="s">
        <v>29</v>
      </c>
      <c r="B1" s="14" t="s">
        <v>193</v>
      </c>
      <c r="C1" s="14" t="s">
        <v>194</v>
      </c>
      <c r="D1" s="14" t="s">
        <v>195</v>
      </c>
      <c r="E1" s="57"/>
    </row>
    <row r="2" spans="1:11" ht="75" customHeight="1" x14ac:dyDescent="0.2">
      <c r="A2" s="11" t="s">
        <v>31</v>
      </c>
      <c r="B2" s="152" t="s">
        <v>220</v>
      </c>
      <c r="C2" s="153"/>
      <c r="D2" s="154"/>
      <c r="F2" s="75"/>
    </row>
    <row r="3" spans="1:11" ht="136.5" customHeight="1" x14ac:dyDescent="0.2">
      <c r="A3" s="11" t="s">
        <v>33</v>
      </c>
      <c r="B3" s="152" t="s">
        <v>220</v>
      </c>
      <c r="C3" s="153"/>
      <c r="D3" s="154"/>
    </row>
    <row r="4" spans="1:11" ht="75.75" customHeight="1" x14ac:dyDescent="0.2">
      <c r="A4" s="11" t="s">
        <v>32</v>
      </c>
      <c r="B4" s="152" t="s">
        <v>220</v>
      </c>
      <c r="C4" s="153"/>
      <c r="D4" s="154"/>
      <c r="F4" s="80"/>
    </row>
    <row r="5" spans="1:11" ht="12.75" customHeight="1" x14ac:dyDescent="0.2">
      <c r="A5" s="59"/>
      <c r="B5" s="60"/>
    </row>
    <row r="6" spans="1:11" ht="54" customHeight="1" x14ac:dyDescent="0.2">
      <c r="A6" s="160" t="s">
        <v>190</v>
      </c>
      <c r="B6" s="160"/>
      <c r="C6" s="161" t="s">
        <v>220</v>
      </c>
      <c r="D6" s="161"/>
      <c r="E6" s="159"/>
      <c r="F6" s="159"/>
      <c r="G6" s="159"/>
      <c r="H6" s="159"/>
      <c r="I6" s="159"/>
      <c r="J6" s="159"/>
      <c r="K6" s="159"/>
    </row>
    <row r="7" spans="1:11" x14ac:dyDescent="0.2">
      <c r="A7" s="13"/>
    </row>
    <row r="8" spans="1:11" ht="12.75" customHeight="1" x14ac:dyDescent="0.2">
      <c r="A8" s="123" t="s">
        <v>181</v>
      </c>
      <c r="B8" s="123"/>
      <c r="C8" s="123"/>
      <c r="D8" s="123"/>
      <c r="E8" s="53"/>
      <c r="F8" s="53"/>
      <c r="G8" s="53"/>
      <c r="H8" s="53"/>
    </row>
    <row r="9" spans="1:11" x14ac:dyDescent="0.2">
      <c r="A9" s="123"/>
      <c r="B9" s="123"/>
      <c r="C9" s="123"/>
      <c r="D9" s="123"/>
      <c r="E9" s="53"/>
      <c r="F9" s="53"/>
      <c r="G9" s="53"/>
      <c r="H9" s="53"/>
    </row>
    <row r="10" spans="1:11" x14ac:dyDescent="0.2">
      <c r="A10" s="1"/>
      <c r="B10" s="1"/>
      <c r="C10" s="1"/>
      <c r="D10" s="1"/>
      <c r="E10" s="1"/>
      <c r="F10" s="1"/>
      <c r="G10" s="1"/>
      <c r="H10" s="1"/>
    </row>
    <row r="11" spans="1:11" ht="13.5" customHeight="1" x14ac:dyDescent="0.2">
      <c r="A11" s="1"/>
      <c r="B11" s="1"/>
      <c r="C11" s="1"/>
      <c r="D11" s="1"/>
      <c r="E11" s="1"/>
      <c r="F11" s="1"/>
      <c r="G11" s="1"/>
      <c r="H11" s="1"/>
    </row>
    <row r="12" spans="1:11" ht="81" customHeight="1" x14ac:dyDescent="0.2">
      <c r="A12" s="49" t="s">
        <v>178</v>
      </c>
      <c r="B12" s="157" t="s">
        <v>179</v>
      </c>
      <c r="C12" s="157"/>
      <c r="D12" s="50" t="s">
        <v>180</v>
      </c>
      <c r="E12" s="48"/>
      <c r="F12" s="48"/>
      <c r="G12" s="48"/>
    </row>
    <row r="13" spans="1:11" ht="36" customHeight="1" x14ac:dyDescent="0.2">
      <c r="A13" s="85"/>
      <c r="B13" s="158"/>
      <c r="C13" s="158"/>
      <c r="D13" s="12"/>
      <c r="E13" s="48"/>
      <c r="F13" s="48"/>
      <c r="G13" s="48"/>
      <c r="H13" s="54"/>
    </row>
    <row r="14" spans="1:11" ht="12" customHeight="1" x14ac:dyDescent="0.2">
      <c r="A14" s="114"/>
      <c r="B14" s="115"/>
      <c r="C14" s="115"/>
      <c r="D14" s="116"/>
      <c r="E14" s="48"/>
      <c r="F14" s="48"/>
      <c r="G14" s="48"/>
      <c r="H14" s="54"/>
    </row>
    <row r="15" spans="1:11" ht="28.5" customHeight="1" x14ac:dyDescent="0.2">
      <c r="A15" s="127" t="s">
        <v>182</v>
      </c>
      <c r="B15" s="127"/>
      <c r="C15" s="127"/>
      <c r="D15" s="55"/>
      <c r="E15" s="55"/>
      <c r="F15" s="55"/>
      <c r="G15" s="55"/>
      <c r="H15" s="55"/>
    </row>
    <row r="16" spans="1:11" ht="48.75" customHeight="1" x14ac:dyDescent="0.2">
      <c r="A16" s="155" t="s">
        <v>214</v>
      </c>
      <c r="B16" s="156"/>
      <c r="C16" s="156"/>
      <c r="D16" s="156"/>
    </row>
    <row r="17" spans="1:17" ht="32.25" customHeight="1" x14ac:dyDescent="0.2">
      <c r="A17" s="155" t="s">
        <v>227</v>
      </c>
      <c r="B17" s="155"/>
      <c r="C17" s="155"/>
      <c r="D17" s="155"/>
    </row>
    <row r="18" spans="1:17" ht="19.5" customHeight="1" x14ac:dyDescent="0.2">
      <c r="A18" s="155" t="s">
        <v>210</v>
      </c>
      <c r="B18" s="155"/>
      <c r="C18" s="155"/>
      <c r="D18" s="155"/>
      <c r="E18" s="86"/>
      <c r="F18" s="86"/>
      <c r="G18" s="86"/>
      <c r="H18" s="86"/>
      <c r="I18" s="86"/>
      <c r="J18" s="86"/>
      <c r="K18" s="86"/>
      <c r="L18" s="86"/>
      <c r="M18" s="86"/>
      <c r="N18" s="86"/>
      <c r="O18" s="86"/>
      <c r="P18" s="86"/>
      <c r="Q18" s="86"/>
    </row>
    <row r="19" spans="1:17" ht="15" x14ac:dyDescent="0.25">
      <c r="A19" s="149" t="s">
        <v>230</v>
      </c>
      <c r="B19" s="150"/>
      <c r="C19" s="150"/>
      <c r="D19" s="151"/>
    </row>
  </sheetData>
  <mergeCells count="14">
    <mergeCell ref="E6:K6"/>
    <mergeCell ref="A6:B6"/>
    <mergeCell ref="C6:D6"/>
    <mergeCell ref="A8:D9"/>
    <mergeCell ref="A18:D18"/>
    <mergeCell ref="A17:D17"/>
    <mergeCell ref="A19:D19"/>
    <mergeCell ref="B2:D2"/>
    <mergeCell ref="B3:D3"/>
    <mergeCell ref="B4:D4"/>
    <mergeCell ref="A16:D16"/>
    <mergeCell ref="B12:C12"/>
    <mergeCell ref="B13:C13"/>
    <mergeCell ref="A15:C1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9"/>
  <sheetViews>
    <sheetView topLeftCell="A49" zoomScaleNormal="100" workbookViewId="0">
      <selection activeCell="F61" sqref="F61"/>
    </sheetView>
  </sheetViews>
  <sheetFormatPr baseColWidth="10" defaultRowHeight="15" x14ac:dyDescent="0.25"/>
  <cols>
    <col min="1" max="2" width="11.42578125" style="15"/>
    <col min="3" max="3" width="15.5703125" style="15" customWidth="1"/>
    <col min="4" max="4" width="8.85546875" style="15" customWidth="1"/>
    <col min="5" max="5" width="9.85546875" style="15" customWidth="1"/>
    <col min="6" max="6" width="10.7109375" style="15" customWidth="1"/>
    <col min="7" max="7" width="11.42578125" style="15"/>
    <col min="8" max="8" width="14" style="15" customWidth="1"/>
    <col min="9" max="9" width="16.5703125" style="15" customWidth="1"/>
    <col min="10" max="10" width="6.42578125" style="15" customWidth="1"/>
    <col min="11" max="12" width="11.42578125" style="15"/>
    <col min="13" max="13" width="17.42578125" style="15" customWidth="1"/>
    <col min="14" max="16" width="11.42578125" style="15"/>
    <col min="17" max="17" width="17.42578125" style="15" customWidth="1"/>
    <col min="18" max="16384" width="11.42578125" style="15"/>
  </cols>
  <sheetData>
    <row r="1" spans="1:17" ht="45.75" customHeight="1" x14ac:dyDescent="0.25">
      <c r="A1" s="169" t="s">
        <v>34</v>
      </c>
      <c r="B1" s="170"/>
      <c r="C1" s="170"/>
      <c r="D1" s="170"/>
      <c r="E1" s="171"/>
      <c r="F1" s="165" t="s">
        <v>141</v>
      </c>
      <c r="G1" s="165"/>
      <c r="H1" s="165"/>
      <c r="I1" s="165"/>
      <c r="J1" s="165" t="s">
        <v>142</v>
      </c>
      <c r="K1" s="165"/>
      <c r="L1" s="165"/>
      <c r="M1" s="165"/>
      <c r="N1" s="165" t="s">
        <v>143</v>
      </c>
      <c r="O1" s="165"/>
      <c r="P1" s="165"/>
      <c r="Q1" s="165"/>
    </row>
    <row r="2" spans="1:17" ht="39" customHeight="1" x14ac:dyDescent="0.25">
      <c r="A2" s="175" t="s">
        <v>132</v>
      </c>
      <c r="B2" s="175"/>
      <c r="C2" s="175"/>
      <c r="D2" s="21" t="s">
        <v>133</v>
      </c>
      <c r="E2" s="21" t="s">
        <v>134</v>
      </c>
      <c r="F2" s="21" t="s">
        <v>138</v>
      </c>
      <c r="G2" s="21" t="s">
        <v>139</v>
      </c>
      <c r="H2" s="21" t="s">
        <v>192</v>
      </c>
      <c r="I2" s="21" t="s">
        <v>175</v>
      </c>
      <c r="J2" s="21" t="s">
        <v>137</v>
      </c>
      <c r="K2" s="21" t="s">
        <v>140</v>
      </c>
      <c r="L2" s="21" t="s">
        <v>192</v>
      </c>
      <c r="M2" s="21" t="s">
        <v>175</v>
      </c>
      <c r="N2" s="21" t="s">
        <v>135</v>
      </c>
      <c r="O2" s="21" t="s">
        <v>140</v>
      </c>
      <c r="P2" s="21" t="s">
        <v>192</v>
      </c>
      <c r="Q2" s="21" t="s">
        <v>175</v>
      </c>
    </row>
    <row r="3" spans="1:17" x14ac:dyDescent="0.25">
      <c r="A3" s="21" t="s">
        <v>35</v>
      </c>
      <c r="B3" s="21" t="s">
        <v>36</v>
      </c>
      <c r="C3" s="21" t="s">
        <v>37</v>
      </c>
      <c r="D3" s="22"/>
      <c r="E3" s="22"/>
      <c r="F3" s="22"/>
      <c r="G3" s="21"/>
      <c r="H3" s="21"/>
      <c r="I3" s="21"/>
      <c r="J3" s="22"/>
      <c r="K3" s="21"/>
      <c r="L3" s="21"/>
      <c r="M3" s="21"/>
      <c r="N3" s="22"/>
      <c r="O3" s="21"/>
      <c r="P3" s="21"/>
      <c r="Q3" s="21"/>
    </row>
    <row r="4" spans="1:17" x14ac:dyDescent="0.25">
      <c r="A4" s="23" t="s">
        <v>38</v>
      </c>
      <c r="B4" s="23" t="s">
        <v>39</v>
      </c>
      <c r="C4" s="23" t="s">
        <v>40</v>
      </c>
      <c r="D4" s="24">
        <v>100</v>
      </c>
      <c r="E4" s="24"/>
      <c r="F4" s="24">
        <v>1</v>
      </c>
      <c r="G4" s="82">
        <v>1000</v>
      </c>
      <c r="H4" s="82">
        <f>(G4*16%)</f>
        <v>160</v>
      </c>
      <c r="I4" s="82">
        <f>(G4+H4)*D4</f>
        <v>116000</v>
      </c>
      <c r="J4" s="24">
        <v>2</v>
      </c>
      <c r="K4" s="82">
        <f>(G4*3.66%)+G4</f>
        <v>1036.5999999999999</v>
      </c>
      <c r="L4" s="82">
        <f>(K4*16%)</f>
        <v>165.85599999999999</v>
      </c>
      <c r="M4" s="82">
        <f>((L4+K4)*D4)*2</f>
        <v>240491.19999999998</v>
      </c>
      <c r="N4" s="24">
        <v>1</v>
      </c>
      <c r="O4" s="82">
        <f>(K4*3.66%)+K4</f>
        <v>1074.5395599999999</v>
      </c>
      <c r="P4" s="82">
        <f>(O4*16%)</f>
        <v>171.9263296</v>
      </c>
      <c r="Q4" s="82">
        <f>(P49+O4)*D4</f>
        <v>107453.95599999999</v>
      </c>
    </row>
    <row r="5" spans="1:17" ht="60" customHeight="1" x14ac:dyDescent="0.25">
      <c r="A5" s="23" t="s">
        <v>41</v>
      </c>
      <c r="B5" s="23" t="s">
        <v>42</v>
      </c>
      <c r="C5" s="23" t="s">
        <v>43</v>
      </c>
      <c r="D5" s="24">
        <v>66.510000000000005</v>
      </c>
      <c r="E5" s="24"/>
      <c r="F5" s="24">
        <v>1</v>
      </c>
      <c r="G5" s="82">
        <v>1000</v>
      </c>
      <c r="H5" s="82">
        <f t="shared" ref="H5:H43" si="0">(G5*16%)</f>
        <v>160</v>
      </c>
      <c r="I5" s="82">
        <f t="shared" ref="I5:I42" si="1">(G5+H5)*D5</f>
        <v>77151.600000000006</v>
      </c>
      <c r="J5" s="24">
        <v>2</v>
      </c>
      <c r="K5" s="82">
        <f t="shared" ref="K5:K43" si="2">(G5*3.66%)+G5</f>
        <v>1036.5999999999999</v>
      </c>
      <c r="L5" s="82">
        <f t="shared" ref="L5:L43" si="3">(K5*16%)</f>
        <v>165.85599999999999</v>
      </c>
      <c r="M5" s="82">
        <f t="shared" ref="M5:M42" si="4">((L5+K5)*D5)*2</f>
        <v>159950.69712</v>
      </c>
      <c r="N5" s="24">
        <v>1</v>
      </c>
      <c r="O5" s="82">
        <f t="shared" ref="O5:O43" si="5">(K5*3.66%)+K5</f>
        <v>1074.5395599999999</v>
      </c>
      <c r="P5" s="82">
        <f t="shared" ref="P5:P43" si="6">(O5*16%)</f>
        <v>171.9263296</v>
      </c>
      <c r="Q5" s="82">
        <f>(P50+O5)*D5</f>
        <v>71467.626135600003</v>
      </c>
    </row>
    <row r="6" spans="1:17" ht="60" customHeight="1" x14ac:dyDescent="0.25">
      <c r="A6" s="23" t="s">
        <v>44</v>
      </c>
      <c r="B6" s="23" t="s">
        <v>45</v>
      </c>
      <c r="C6" s="23" t="s">
        <v>46</v>
      </c>
      <c r="D6" s="24">
        <v>72.31</v>
      </c>
      <c r="E6" s="24"/>
      <c r="F6" s="24">
        <v>1</v>
      </c>
      <c r="G6" s="82">
        <v>1000</v>
      </c>
      <c r="H6" s="82">
        <f t="shared" si="0"/>
        <v>160</v>
      </c>
      <c r="I6" s="82">
        <f t="shared" si="1"/>
        <v>83879.600000000006</v>
      </c>
      <c r="J6" s="24">
        <v>2</v>
      </c>
      <c r="K6" s="82">
        <f t="shared" si="2"/>
        <v>1036.5999999999999</v>
      </c>
      <c r="L6" s="82">
        <f t="shared" si="3"/>
        <v>165.85599999999999</v>
      </c>
      <c r="M6" s="82">
        <f t="shared" si="4"/>
        <v>173899.18672</v>
      </c>
      <c r="N6" s="24">
        <v>1</v>
      </c>
      <c r="O6" s="82">
        <f t="shared" si="5"/>
        <v>1074.5395599999999</v>
      </c>
      <c r="P6" s="82">
        <f t="shared" si="6"/>
        <v>171.9263296</v>
      </c>
      <c r="Q6" s="82">
        <f>(P51+O6)*D6</f>
        <v>77699.955583599993</v>
      </c>
    </row>
    <row r="7" spans="1:17" ht="72" customHeight="1" x14ac:dyDescent="0.25">
      <c r="A7" s="23" t="s">
        <v>47</v>
      </c>
      <c r="B7" s="23" t="s">
        <v>48</v>
      </c>
      <c r="C7" s="23" t="s">
        <v>49</v>
      </c>
      <c r="D7" s="24">
        <v>149.63</v>
      </c>
      <c r="E7" s="24"/>
      <c r="F7" s="24">
        <v>1</v>
      </c>
      <c r="G7" s="82">
        <v>1000</v>
      </c>
      <c r="H7" s="82">
        <f t="shared" si="0"/>
        <v>160</v>
      </c>
      <c r="I7" s="82">
        <f t="shared" si="1"/>
        <v>173570.8</v>
      </c>
      <c r="J7" s="24">
        <v>2</v>
      </c>
      <c r="K7" s="82">
        <f t="shared" si="2"/>
        <v>1036.5999999999999</v>
      </c>
      <c r="L7" s="82">
        <f t="shared" si="3"/>
        <v>165.85599999999999</v>
      </c>
      <c r="M7" s="82">
        <f t="shared" si="4"/>
        <v>359846.98255999997</v>
      </c>
      <c r="N7" s="24">
        <v>1</v>
      </c>
      <c r="O7" s="82">
        <f t="shared" si="5"/>
        <v>1074.5395599999999</v>
      </c>
      <c r="P7" s="82">
        <f t="shared" si="6"/>
        <v>171.9263296</v>
      </c>
      <c r="Q7" s="82">
        <f>(P52+O7)*D7</f>
        <v>160783.35436279999</v>
      </c>
    </row>
    <row r="8" spans="1:17" ht="60" customHeight="1" x14ac:dyDescent="0.25">
      <c r="A8" s="23" t="s">
        <v>50</v>
      </c>
      <c r="B8" s="23" t="s">
        <v>51</v>
      </c>
      <c r="C8" s="23" t="s">
        <v>52</v>
      </c>
      <c r="D8" s="24">
        <v>90</v>
      </c>
      <c r="E8" s="24"/>
      <c r="F8" s="24">
        <v>1</v>
      </c>
      <c r="G8" s="82">
        <v>1000</v>
      </c>
      <c r="H8" s="82"/>
      <c r="I8" s="82">
        <f t="shared" si="1"/>
        <v>90000</v>
      </c>
      <c r="J8" s="24">
        <v>2</v>
      </c>
      <c r="K8" s="82">
        <f t="shared" si="2"/>
        <v>1036.5999999999999</v>
      </c>
      <c r="L8" s="82"/>
      <c r="M8" s="82">
        <f t="shared" si="4"/>
        <v>186587.99999999997</v>
      </c>
      <c r="N8" s="24">
        <v>1</v>
      </c>
      <c r="O8" s="82">
        <f t="shared" si="5"/>
        <v>1074.5395599999999</v>
      </c>
      <c r="P8" s="82"/>
      <c r="Q8" s="82" t="e">
        <f>(#REF!+O8)*D8</f>
        <v>#REF!</v>
      </c>
    </row>
    <row r="9" spans="1:17" ht="72" customHeight="1" x14ac:dyDescent="0.25">
      <c r="A9" s="23" t="s">
        <v>53</v>
      </c>
      <c r="B9" s="23" t="s">
        <v>54</v>
      </c>
      <c r="C9" s="23" t="s">
        <v>55</v>
      </c>
      <c r="D9" s="24">
        <v>250</v>
      </c>
      <c r="E9" s="24"/>
      <c r="F9" s="24">
        <v>1</v>
      </c>
      <c r="G9" s="82">
        <v>1000</v>
      </c>
      <c r="H9" s="82">
        <f t="shared" si="0"/>
        <v>160</v>
      </c>
      <c r="I9" s="82">
        <f t="shared" si="1"/>
        <v>290000</v>
      </c>
      <c r="J9" s="24">
        <v>2</v>
      </c>
      <c r="K9" s="82">
        <f t="shared" si="2"/>
        <v>1036.5999999999999</v>
      </c>
      <c r="L9" s="82">
        <f t="shared" si="3"/>
        <v>165.85599999999999</v>
      </c>
      <c r="M9" s="82">
        <f t="shared" si="4"/>
        <v>601228</v>
      </c>
      <c r="N9" s="24">
        <v>1</v>
      </c>
      <c r="O9" s="82">
        <f t="shared" si="5"/>
        <v>1074.5395599999999</v>
      </c>
      <c r="P9" s="82">
        <f t="shared" si="6"/>
        <v>171.9263296</v>
      </c>
      <c r="Q9" s="82">
        <f>(P53+O9)*D9</f>
        <v>268634.88999999996</v>
      </c>
    </row>
    <row r="10" spans="1:17" ht="72" customHeight="1" x14ac:dyDescent="0.25">
      <c r="A10" s="23" t="s">
        <v>56</v>
      </c>
      <c r="B10" s="23" t="s">
        <v>57</v>
      </c>
      <c r="C10" s="23" t="s">
        <v>58</v>
      </c>
      <c r="D10" s="24">
        <v>100</v>
      </c>
      <c r="E10" s="24"/>
      <c r="F10" s="24">
        <v>1</v>
      </c>
      <c r="G10" s="82">
        <v>1000</v>
      </c>
      <c r="H10" s="82">
        <f t="shared" si="0"/>
        <v>160</v>
      </c>
      <c r="I10" s="82">
        <f t="shared" si="1"/>
        <v>116000</v>
      </c>
      <c r="J10" s="24">
        <v>2</v>
      </c>
      <c r="K10" s="82">
        <f t="shared" si="2"/>
        <v>1036.5999999999999</v>
      </c>
      <c r="L10" s="82">
        <f t="shared" si="3"/>
        <v>165.85599999999999</v>
      </c>
      <c r="M10" s="82">
        <f t="shared" si="4"/>
        <v>240491.19999999998</v>
      </c>
      <c r="N10" s="24">
        <v>1</v>
      </c>
      <c r="O10" s="82">
        <f t="shared" si="5"/>
        <v>1074.5395599999999</v>
      </c>
      <c r="P10" s="82">
        <f t="shared" si="6"/>
        <v>171.9263296</v>
      </c>
      <c r="Q10" s="82">
        <f>(P54+O10)*D10</f>
        <v>107453.95599999999</v>
      </c>
    </row>
    <row r="11" spans="1:17" ht="60" customHeight="1" x14ac:dyDescent="0.25">
      <c r="A11" s="23" t="s">
        <v>59</v>
      </c>
      <c r="B11" s="23" t="s">
        <v>60</v>
      </c>
      <c r="C11" s="23" t="s">
        <v>61</v>
      </c>
      <c r="D11" s="24">
        <v>64.19</v>
      </c>
      <c r="E11" s="24"/>
      <c r="F11" s="24">
        <v>1</v>
      </c>
      <c r="G11" s="82">
        <v>1000</v>
      </c>
      <c r="H11" s="82">
        <f t="shared" si="0"/>
        <v>160</v>
      </c>
      <c r="I11" s="82">
        <f t="shared" si="1"/>
        <v>74460.399999999994</v>
      </c>
      <c r="J11" s="24">
        <v>2</v>
      </c>
      <c r="K11" s="82">
        <f t="shared" si="2"/>
        <v>1036.5999999999999</v>
      </c>
      <c r="L11" s="82">
        <f t="shared" si="3"/>
        <v>165.85599999999999</v>
      </c>
      <c r="M11" s="82">
        <f t="shared" si="4"/>
        <v>154371.30127999999</v>
      </c>
      <c r="N11" s="24">
        <v>1</v>
      </c>
      <c r="O11" s="82">
        <f t="shared" si="5"/>
        <v>1074.5395599999999</v>
      </c>
      <c r="P11" s="82">
        <f t="shared" si="6"/>
        <v>171.9263296</v>
      </c>
      <c r="Q11" s="82">
        <f>(P55+O11)*D11</f>
        <v>68974.694356399996</v>
      </c>
    </row>
    <row r="12" spans="1:17" ht="60" customHeight="1" x14ac:dyDescent="0.25">
      <c r="A12" s="23" t="s">
        <v>62</v>
      </c>
      <c r="B12" s="23" t="s">
        <v>63</v>
      </c>
      <c r="C12" s="23" t="s">
        <v>64</v>
      </c>
      <c r="D12" s="24">
        <v>85.09</v>
      </c>
      <c r="E12" s="24"/>
      <c r="F12" s="24">
        <v>1</v>
      </c>
      <c r="G12" s="82">
        <v>1000</v>
      </c>
      <c r="H12" s="82">
        <f t="shared" si="0"/>
        <v>160</v>
      </c>
      <c r="I12" s="82">
        <f t="shared" si="1"/>
        <v>98704.400000000009</v>
      </c>
      <c r="J12" s="24">
        <v>2</v>
      </c>
      <c r="K12" s="82">
        <f t="shared" si="2"/>
        <v>1036.5999999999999</v>
      </c>
      <c r="L12" s="82">
        <f t="shared" si="3"/>
        <v>165.85599999999999</v>
      </c>
      <c r="M12" s="82">
        <f t="shared" si="4"/>
        <v>204633.96208</v>
      </c>
      <c r="N12" s="24">
        <v>1</v>
      </c>
      <c r="O12" s="82">
        <f t="shared" si="5"/>
        <v>1074.5395599999999</v>
      </c>
      <c r="P12" s="82">
        <f t="shared" si="6"/>
        <v>171.9263296</v>
      </c>
      <c r="Q12" s="82">
        <f>(P56+O12)*D12</f>
        <v>91432.571160399995</v>
      </c>
    </row>
    <row r="13" spans="1:17" ht="24" customHeight="1" x14ac:dyDescent="0.25">
      <c r="A13" s="23" t="s">
        <v>65</v>
      </c>
      <c r="B13" s="23" t="s">
        <v>66</v>
      </c>
      <c r="C13" s="23" t="s">
        <v>67</v>
      </c>
      <c r="D13" s="24">
        <v>100</v>
      </c>
      <c r="E13" s="24"/>
      <c r="F13" s="24">
        <v>1</v>
      </c>
      <c r="G13" s="82">
        <v>1000</v>
      </c>
      <c r="H13" s="82">
        <f t="shared" si="0"/>
        <v>160</v>
      </c>
      <c r="I13" s="82">
        <f t="shared" si="1"/>
        <v>116000</v>
      </c>
      <c r="J13" s="24">
        <v>2</v>
      </c>
      <c r="K13" s="82">
        <f t="shared" si="2"/>
        <v>1036.5999999999999</v>
      </c>
      <c r="L13" s="82">
        <f t="shared" si="3"/>
        <v>165.85599999999999</v>
      </c>
      <c r="M13" s="82">
        <f t="shared" si="4"/>
        <v>240491.19999999998</v>
      </c>
      <c r="N13" s="24">
        <v>1</v>
      </c>
      <c r="O13" s="82">
        <f t="shared" si="5"/>
        <v>1074.5395599999999</v>
      </c>
      <c r="P13" s="82">
        <f t="shared" si="6"/>
        <v>171.9263296</v>
      </c>
      <c r="Q13" s="82">
        <f>(P57+O13)*D13</f>
        <v>107453.95599999999</v>
      </c>
    </row>
    <row r="14" spans="1:17" ht="66" customHeight="1" x14ac:dyDescent="0.25">
      <c r="A14" s="23" t="s">
        <v>68</v>
      </c>
      <c r="B14" s="23" t="s">
        <v>69</v>
      </c>
      <c r="C14" s="23" t="s">
        <v>70</v>
      </c>
      <c r="D14" s="24">
        <v>74.92</v>
      </c>
      <c r="E14" s="24"/>
      <c r="F14" s="24">
        <v>1</v>
      </c>
      <c r="G14" s="82">
        <v>1000</v>
      </c>
      <c r="H14" s="82">
        <f t="shared" si="0"/>
        <v>160</v>
      </c>
      <c r="I14" s="82">
        <f t="shared" si="1"/>
        <v>86907.199999999997</v>
      </c>
      <c r="J14" s="24">
        <v>2</v>
      </c>
      <c r="K14" s="82">
        <f t="shared" si="2"/>
        <v>1036.5999999999999</v>
      </c>
      <c r="L14" s="82">
        <f t="shared" si="3"/>
        <v>165.85599999999999</v>
      </c>
      <c r="M14" s="82">
        <f t="shared" si="4"/>
        <v>180176.00704</v>
      </c>
      <c r="N14" s="24">
        <v>1</v>
      </c>
      <c r="O14" s="82">
        <f t="shared" si="5"/>
        <v>1074.5395599999999</v>
      </c>
      <c r="P14" s="82">
        <f t="shared" si="6"/>
        <v>171.9263296</v>
      </c>
      <c r="Q14" s="82" t="e">
        <f>(#REF!+O14)*D14</f>
        <v>#REF!</v>
      </c>
    </row>
    <row r="15" spans="1:17" ht="84" x14ac:dyDescent="0.25">
      <c r="A15" s="23" t="s">
        <v>71</v>
      </c>
      <c r="B15" s="23" t="s">
        <v>72</v>
      </c>
      <c r="C15" s="23" t="s">
        <v>73</v>
      </c>
      <c r="D15" s="24">
        <v>100</v>
      </c>
      <c r="E15" s="24"/>
      <c r="F15" s="24">
        <v>1</v>
      </c>
      <c r="G15" s="82">
        <v>1000</v>
      </c>
      <c r="H15" s="82"/>
      <c r="I15" s="82">
        <f t="shared" si="1"/>
        <v>100000</v>
      </c>
      <c r="J15" s="24">
        <v>2</v>
      </c>
      <c r="K15" s="82">
        <f t="shared" si="2"/>
        <v>1036.5999999999999</v>
      </c>
      <c r="L15" s="82"/>
      <c r="M15" s="82">
        <f t="shared" si="4"/>
        <v>207319.99999999997</v>
      </c>
      <c r="N15" s="24">
        <v>1</v>
      </c>
      <c r="O15" s="82">
        <f t="shared" si="5"/>
        <v>1074.5395599999999</v>
      </c>
      <c r="P15" s="82"/>
      <c r="Q15" s="82">
        <f t="shared" ref="Q15:Q32" si="7">(P58+O15)*D15</f>
        <v>107453.95599999999</v>
      </c>
    </row>
    <row r="16" spans="1:17" ht="36" customHeight="1" x14ac:dyDescent="0.25">
      <c r="A16" s="23" t="s">
        <v>74</v>
      </c>
      <c r="B16" s="23" t="s">
        <v>75</v>
      </c>
      <c r="C16" s="23" t="s">
        <v>76</v>
      </c>
      <c r="D16" s="24">
        <v>165.45</v>
      </c>
      <c r="E16" s="24"/>
      <c r="F16" s="24">
        <v>1</v>
      </c>
      <c r="G16" s="82">
        <v>1000</v>
      </c>
      <c r="H16" s="82">
        <f t="shared" si="0"/>
        <v>160</v>
      </c>
      <c r="I16" s="82">
        <f t="shared" si="1"/>
        <v>191922</v>
      </c>
      <c r="J16" s="24">
        <v>2</v>
      </c>
      <c r="K16" s="82">
        <f t="shared" si="2"/>
        <v>1036.5999999999999</v>
      </c>
      <c r="L16" s="82">
        <f t="shared" si="3"/>
        <v>165.85599999999999</v>
      </c>
      <c r="M16" s="82">
        <f t="shared" si="4"/>
        <v>397892.69039999996</v>
      </c>
      <c r="N16" s="24">
        <v>1</v>
      </c>
      <c r="O16" s="82">
        <f t="shared" si="5"/>
        <v>1074.5395599999999</v>
      </c>
      <c r="P16" s="82">
        <f t="shared" si="6"/>
        <v>171.9263296</v>
      </c>
      <c r="Q16" s="82">
        <f t="shared" si="7"/>
        <v>177782.57020199997</v>
      </c>
    </row>
    <row r="17" spans="1:17" ht="60" customHeight="1" x14ac:dyDescent="0.25">
      <c r="A17" s="23" t="s">
        <v>74</v>
      </c>
      <c r="B17" s="23" t="s">
        <v>77</v>
      </c>
      <c r="C17" s="23" t="s">
        <v>78</v>
      </c>
      <c r="D17" s="24">
        <v>33.619999999999997</v>
      </c>
      <c r="E17" s="24"/>
      <c r="F17" s="24">
        <v>1</v>
      </c>
      <c r="G17" s="82">
        <v>1000</v>
      </c>
      <c r="H17" s="82">
        <f t="shared" si="0"/>
        <v>160</v>
      </c>
      <c r="I17" s="108">
        <f>((H17+G17)*D17)</f>
        <v>38999.199999999997</v>
      </c>
      <c r="J17" s="24">
        <v>2</v>
      </c>
      <c r="K17" s="82">
        <f t="shared" si="2"/>
        <v>1036.5999999999999</v>
      </c>
      <c r="L17" s="82">
        <f t="shared" si="3"/>
        <v>165.85599999999999</v>
      </c>
      <c r="M17" s="82">
        <f t="shared" si="4"/>
        <v>80853.141439999992</v>
      </c>
      <c r="N17" s="24">
        <v>1</v>
      </c>
      <c r="O17" s="82">
        <f t="shared" si="5"/>
        <v>1074.5395599999999</v>
      </c>
      <c r="P17" s="82">
        <f t="shared" si="6"/>
        <v>171.9263296</v>
      </c>
      <c r="Q17" s="82">
        <f t="shared" si="7"/>
        <v>36126.020007199993</v>
      </c>
    </row>
    <row r="18" spans="1:17" ht="48" x14ac:dyDescent="0.25">
      <c r="A18" s="23" t="s">
        <v>79</v>
      </c>
      <c r="B18" s="23" t="s">
        <v>80</v>
      </c>
      <c r="C18" s="23" t="s">
        <v>81</v>
      </c>
      <c r="D18" s="24">
        <v>109.63</v>
      </c>
      <c r="E18" s="24"/>
      <c r="F18" s="24">
        <v>1</v>
      </c>
      <c r="G18" s="82">
        <v>1000</v>
      </c>
      <c r="H18" s="82">
        <f t="shared" si="0"/>
        <v>160</v>
      </c>
      <c r="I18" s="82">
        <f t="shared" si="1"/>
        <v>127170.79999999999</v>
      </c>
      <c r="J18" s="24">
        <v>2</v>
      </c>
      <c r="K18" s="82">
        <f t="shared" si="2"/>
        <v>1036.5999999999999</v>
      </c>
      <c r="L18" s="82">
        <f t="shared" si="3"/>
        <v>165.85599999999999</v>
      </c>
      <c r="M18" s="82">
        <f t="shared" si="4"/>
        <v>263650.50255999999</v>
      </c>
      <c r="N18" s="24">
        <v>1</v>
      </c>
      <c r="O18" s="82">
        <f t="shared" si="5"/>
        <v>1074.5395599999999</v>
      </c>
      <c r="P18" s="82">
        <f t="shared" si="6"/>
        <v>171.9263296</v>
      </c>
      <c r="Q18" s="82">
        <f t="shared" si="7"/>
        <v>117801.77196279999</v>
      </c>
    </row>
    <row r="19" spans="1:17" ht="24" x14ac:dyDescent="0.25">
      <c r="A19" s="23" t="s">
        <v>82</v>
      </c>
      <c r="B19" s="23" t="s">
        <v>83</v>
      </c>
      <c r="C19" s="23" t="s">
        <v>84</v>
      </c>
      <c r="D19" s="24">
        <v>472.02</v>
      </c>
      <c r="E19" s="24">
        <v>139.32</v>
      </c>
      <c r="F19" s="24">
        <v>1</v>
      </c>
      <c r="G19" s="82">
        <v>1000</v>
      </c>
      <c r="H19" s="82">
        <f t="shared" si="0"/>
        <v>160</v>
      </c>
      <c r="I19" s="82">
        <f t="shared" si="1"/>
        <v>547543.19999999995</v>
      </c>
      <c r="J19" s="24">
        <v>2</v>
      </c>
      <c r="K19" s="82">
        <f t="shared" si="2"/>
        <v>1036.5999999999999</v>
      </c>
      <c r="L19" s="82">
        <f t="shared" si="3"/>
        <v>165.85599999999999</v>
      </c>
      <c r="M19" s="82">
        <f t="shared" si="4"/>
        <v>1135166.5622399999</v>
      </c>
      <c r="N19" s="24">
        <v>1</v>
      </c>
      <c r="O19" s="82">
        <f t="shared" si="5"/>
        <v>1074.5395599999999</v>
      </c>
      <c r="P19" s="82">
        <f t="shared" si="6"/>
        <v>171.9263296</v>
      </c>
      <c r="Q19" s="82">
        <f t="shared" si="7"/>
        <v>507204.16311119997</v>
      </c>
    </row>
    <row r="20" spans="1:17" ht="48" customHeight="1" x14ac:dyDescent="0.25">
      <c r="A20" s="23" t="s">
        <v>74</v>
      </c>
      <c r="B20" s="23" t="s">
        <v>85</v>
      </c>
      <c r="C20" s="23" t="s">
        <v>86</v>
      </c>
      <c r="D20" s="24">
        <v>123.56</v>
      </c>
      <c r="E20" s="24"/>
      <c r="F20" s="24">
        <v>1</v>
      </c>
      <c r="G20" s="82">
        <v>1000</v>
      </c>
      <c r="H20" s="82">
        <f t="shared" si="0"/>
        <v>160</v>
      </c>
      <c r="I20" s="82">
        <f t="shared" si="1"/>
        <v>143329.60000000001</v>
      </c>
      <c r="J20" s="24">
        <v>2</v>
      </c>
      <c r="K20" s="82">
        <f t="shared" si="2"/>
        <v>1036.5999999999999</v>
      </c>
      <c r="L20" s="82">
        <f t="shared" si="3"/>
        <v>165.85599999999999</v>
      </c>
      <c r="M20" s="82">
        <f t="shared" si="4"/>
        <v>297150.92671999999</v>
      </c>
      <c r="N20" s="24">
        <v>1</v>
      </c>
      <c r="O20" s="82">
        <f t="shared" si="5"/>
        <v>1074.5395599999999</v>
      </c>
      <c r="P20" s="82">
        <f t="shared" si="6"/>
        <v>171.9263296</v>
      </c>
      <c r="Q20" s="82">
        <f t="shared" si="7"/>
        <v>132770.1080336</v>
      </c>
    </row>
    <row r="21" spans="1:17" ht="60" customHeight="1" x14ac:dyDescent="0.25">
      <c r="A21" s="23" t="s">
        <v>87</v>
      </c>
      <c r="B21" s="23" t="s">
        <v>88</v>
      </c>
      <c r="C21" s="23" t="s">
        <v>89</v>
      </c>
      <c r="D21" s="24">
        <v>100</v>
      </c>
      <c r="E21" s="24"/>
      <c r="F21" s="24">
        <v>1</v>
      </c>
      <c r="G21" s="82">
        <v>1000</v>
      </c>
      <c r="H21" s="82">
        <f t="shared" si="0"/>
        <v>160</v>
      </c>
      <c r="I21" s="82">
        <f t="shared" si="1"/>
        <v>116000</v>
      </c>
      <c r="J21" s="24">
        <v>2</v>
      </c>
      <c r="K21" s="82">
        <f t="shared" si="2"/>
        <v>1036.5999999999999</v>
      </c>
      <c r="L21" s="82">
        <f t="shared" si="3"/>
        <v>165.85599999999999</v>
      </c>
      <c r="M21" s="82">
        <f t="shared" si="4"/>
        <v>240491.19999999998</v>
      </c>
      <c r="N21" s="24">
        <v>1</v>
      </c>
      <c r="O21" s="82">
        <f t="shared" si="5"/>
        <v>1074.5395599999999</v>
      </c>
      <c r="P21" s="82">
        <f t="shared" si="6"/>
        <v>171.9263296</v>
      </c>
      <c r="Q21" s="82">
        <f t="shared" si="7"/>
        <v>107453.95599999999</v>
      </c>
    </row>
    <row r="22" spans="1:17" ht="36" customHeight="1" x14ac:dyDescent="0.25">
      <c r="A22" s="23" t="s">
        <v>90</v>
      </c>
      <c r="B22" s="23" t="s">
        <v>91</v>
      </c>
      <c r="C22" s="23" t="s">
        <v>92</v>
      </c>
      <c r="D22" s="24">
        <v>345.73</v>
      </c>
      <c r="E22" s="24"/>
      <c r="F22" s="24">
        <v>1</v>
      </c>
      <c r="G22" s="82">
        <v>1000</v>
      </c>
      <c r="H22" s="82">
        <f t="shared" si="0"/>
        <v>160</v>
      </c>
      <c r="I22" s="82">
        <f t="shared" si="1"/>
        <v>401046.80000000005</v>
      </c>
      <c r="J22" s="24">
        <v>2</v>
      </c>
      <c r="K22" s="82">
        <f t="shared" si="2"/>
        <v>1036.5999999999999</v>
      </c>
      <c r="L22" s="82">
        <f t="shared" si="3"/>
        <v>165.85599999999999</v>
      </c>
      <c r="M22" s="82">
        <f t="shared" si="4"/>
        <v>831450.22575999994</v>
      </c>
      <c r="N22" s="24">
        <v>1</v>
      </c>
      <c r="O22" s="82">
        <f t="shared" si="5"/>
        <v>1074.5395599999999</v>
      </c>
      <c r="P22" s="82">
        <f t="shared" si="6"/>
        <v>171.9263296</v>
      </c>
      <c r="Q22" s="82">
        <f t="shared" si="7"/>
        <v>371500.56207879999</v>
      </c>
    </row>
    <row r="23" spans="1:17" ht="72" customHeight="1" x14ac:dyDescent="0.25">
      <c r="A23" s="23" t="s">
        <v>93</v>
      </c>
      <c r="B23" s="23" t="s">
        <v>94</v>
      </c>
      <c r="C23" s="23" t="s">
        <v>95</v>
      </c>
      <c r="D23" s="24">
        <v>106.5</v>
      </c>
      <c r="E23" s="24"/>
      <c r="F23" s="24">
        <v>1</v>
      </c>
      <c r="G23" s="82">
        <v>1000</v>
      </c>
      <c r="H23" s="82">
        <f t="shared" si="0"/>
        <v>160</v>
      </c>
      <c r="I23" s="82">
        <f t="shared" si="1"/>
        <v>123540</v>
      </c>
      <c r="J23" s="24">
        <v>2</v>
      </c>
      <c r="K23" s="83">
        <f t="shared" si="2"/>
        <v>1036.5999999999999</v>
      </c>
      <c r="L23" s="83">
        <f t="shared" si="3"/>
        <v>165.85599999999999</v>
      </c>
      <c r="M23" s="82">
        <f t="shared" si="4"/>
        <v>256123.12799999997</v>
      </c>
      <c r="N23" s="24">
        <v>1</v>
      </c>
      <c r="O23" s="82">
        <f t="shared" si="5"/>
        <v>1074.5395599999999</v>
      </c>
      <c r="P23" s="82">
        <f t="shared" si="6"/>
        <v>171.9263296</v>
      </c>
      <c r="Q23" s="82">
        <f t="shared" si="7"/>
        <v>114438.46313999999</v>
      </c>
    </row>
    <row r="24" spans="1:17" ht="24" x14ac:dyDescent="0.25">
      <c r="A24" s="23" t="s">
        <v>96</v>
      </c>
      <c r="B24" s="23" t="s">
        <v>97</v>
      </c>
      <c r="C24" s="23" t="s">
        <v>98</v>
      </c>
      <c r="D24" s="24">
        <v>275.43</v>
      </c>
      <c r="E24" s="24"/>
      <c r="F24" s="24">
        <v>1</v>
      </c>
      <c r="G24" s="82">
        <v>1000</v>
      </c>
      <c r="H24" s="82">
        <f t="shared" si="0"/>
        <v>160</v>
      </c>
      <c r="I24" s="82">
        <f t="shared" si="1"/>
        <v>319498.8</v>
      </c>
      <c r="J24" s="24">
        <v>2</v>
      </c>
      <c r="K24" s="82">
        <f t="shared" si="2"/>
        <v>1036.5999999999999</v>
      </c>
      <c r="L24" s="82">
        <f t="shared" si="3"/>
        <v>165.85599999999999</v>
      </c>
      <c r="M24" s="82">
        <f t="shared" si="4"/>
        <v>662384.91215999995</v>
      </c>
      <c r="N24" s="24">
        <v>1</v>
      </c>
      <c r="O24" s="82">
        <f t="shared" si="5"/>
        <v>1074.5395599999999</v>
      </c>
      <c r="P24" s="82">
        <f t="shared" si="6"/>
        <v>171.9263296</v>
      </c>
      <c r="Q24" s="82">
        <f t="shared" si="7"/>
        <v>295960.43101080001</v>
      </c>
    </row>
    <row r="25" spans="1:17" ht="36" customHeight="1" x14ac:dyDescent="0.25">
      <c r="A25" s="23" t="s">
        <v>99</v>
      </c>
      <c r="B25" s="23" t="s">
        <v>100</v>
      </c>
      <c r="C25" s="23" t="s">
        <v>101</v>
      </c>
      <c r="D25" s="24">
        <v>100</v>
      </c>
      <c r="E25" s="24"/>
      <c r="F25" s="24">
        <v>1</v>
      </c>
      <c r="G25" s="82">
        <v>1000</v>
      </c>
      <c r="H25" s="82">
        <f t="shared" si="0"/>
        <v>160</v>
      </c>
      <c r="I25" s="82">
        <f t="shared" si="1"/>
        <v>116000</v>
      </c>
      <c r="J25" s="24">
        <v>2</v>
      </c>
      <c r="K25" s="82">
        <f t="shared" si="2"/>
        <v>1036.5999999999999</v>
      </c>
      <c r="L25" s="82">
        <f t="shared" si="3"/>
        <v>165.85599999999999</v>
      </c>
      <c r="M25" s="82">
        <f t="shared" si="4"/>
        <v>240491.19999999998</v>
      </c>
      <c r="N25" s="24">
        <v>1</v>
      </c>
      <c r="O25" s="82">
        <f t="shared" si="5"/>
        <v>1074.5395599999999</v>
      </c>
      <c r="P25" s="82">
        <f t="shared" si="6"/>
        <v>171.9263296</v>
      </c>
      <c r="Q25" s="82">
        <f t="shared" si="7"/>
        <v>107453.95599999999</v>
      </c>
    </row>
    <row r="26" spans="1:17" ht="57" customHeight="1" x14ac:dyDescent="0.25">
      <c r="A26" s="23" t="s">
        <v>102</v>
      </c>
      <c r="B26" s="23" t="s">
        <v>103</v>
      </c>
      <c r="C26" s="23" t="s">
        <v>104</v>
      </c>
      <c r="D26" s="24">
        <v>110.2</v>
      </c>
      <c r="E26" s="24"/>
      <c r="F26" s="24">
        <v>1</v>
      </c>
      <c r="G26" s="82">
        <v>1000</v>
      </c>
      <c r="H26" s="82">
        <f t="shared" si="0"/>
        <v>160</v>
      </c>
      <c r="I26" s="82">
        <f t="shared" si="1"/>
        <v>127832</v>
      </c>
      <c r="J26" s="24">
        <v>2</v>
      </c>
      <c r="K26" s="82">
        <f t="shared" si="2"/>
        <v>1036.5999999999999</v>
      </c>
      <c r="L26" s="82">
        <f t="shared" si="3"/>
        <v>165.85599999999999</v>
      </c>
      <c r="M26" s="82">
        <f t="shared" si="4"/>
        <v>265021.30239999999</v>
      </c>
      <c r="N26" s="24">
        <v>1</v>
      </c>
      <c r="O26" s="82">
        <f t="shared" si="5"/>
        <v>1074.5395599999999</v>
      </c>
      <c r="P26" s="82">
        <f t="shared" si="6"/>
        <v>171.9263296</v>
      </c>
      <c r="Q26" s="82">
        <f t="shared" si="7"/>
        <v>118414.25951199999</v>
      </c>
    </row>
    <row r="27" spans="1:17" ht="60" customHeight="1" x14ac:dyDescent="0.25">
      <c r="A27" s="23" t="s">
        <v>105</v>
      </c>
      <c r="B27" s="23" t="s">
        <v>106</v>
      </c>
      <c r="C27" s="23" t="s">
        <v>107</v>
      </c>
      <c r="D27" s="24">
        <v>270.63</v>
      </c>
      <c r="E27" s="24"/>
      <c r="F27" s="24">
        <v>1</v>
      </c>
      <c r="G27" s="82">
        <v>1000</v>
      </c>
      <c r="H27" s="82">
        <f t="shared" si="0"/>
        <v>160</v>
      </c>
      <c r="I27" s="82">
        <f t="shared" si="1"/>
        <v>313930.8</v>
      </c>
      <c r="J27" s="24">
        <v>2</v>
      </c>
      <c r="K27" s="82">
        <f t="shared" si="2"/>
        <v>1036.5999999999999</v>
      </c>
      <c r="L27" s="82">
        <f t="shared" si="3"/>
        <v>165.85599999999999</v>
      </c>
      <c r="M27" s="82">
        <f t="shared" si="4"/>
        <v>650841.33455999999</v>
      </c>
      <c r="N27" s="24">
        <v>1</v>
      </c>
      <c r="O27" s="82">
        <f t="shared" si="5"/>
        <v>1074.5395599999999</v>
      </c>
      <c r="P27" s="82">
        <f t="shared" si="6"/>
        <v>171.9263296</v>
      </c>
      <c r="Q27" s="82">
        <f t="shared" si="7"/>
        <v>290802.64112280001</v>
      </c>
    </row>
    <row r="28" spans="1:17" ht="60" customHeight="1" x14ac:dyDescent="0.25">
      <c r="A28" s="23" t="s">
        <v>108</v>
      </c>
      <c r="B28" s="23" t="s">
        <v>109</v>
      </c>
      <c r="C28" s="23" t="s">
        <v>110</v>
      </c>
      <c r="D28" s="24">
        <v>157.72999999999999</v>
      </c>
      <c r="E28" s="24"/>
      <c r="F28" s="24">
        <v>1</v>
      </c>
      <c r="G28" s="82">
        <v>1000</v>
      </c>
      <c r="H28" s="82">
        <f t="shared" si="0"/>
        <v>160</v>
      </c>
      <c r="I28" s="82">
        <f t="shared" si="1"/>
        <v>182966.8</v>
      </c>
      <c r="J28" s="24">
        <v>2</v>
      </c>
      <c r="K28" s="82">
        <f t="shared" si="2"/>
        <v>1036.5999999999999</v>
      </c>
      <c r="L28" s="82">
        <f t="shared" si="3"/>
        <v>165.85599999999999</v>
      </c>
      <c r="M28" s="82">
        <f t="shared" si="4"/>
        <v>379326.76975999994</v>
      </c>
      <c r="N28" s="24">
        <v>1</v>
      </c>
      <c r="O28" s="82">
        <f t="shared" si="5"/>
        <v>1074.5395599999999</v>
      </c>
      <c r="P28" s="82">
        <f t="shared" si="6"/>
        <v>171.9263296</v>
      </c>
      <c r="Q28" s="82">
        <f t="shared" si="7"/>
        <v>169487.12479879998</v>
      </c>
    </row>
    <row r="29" spans="1:17" ht="48" customHeight="1" x14ac:dyDescent="0.25">
      <c r="A29" s="23" t="s">
        <v>111</v>
      </c>
      <c r="B29" s="23" t="s">
        <v>112</v>
      </c>
      <c r="C29" s="23" t="s">
        <v>113</v>
      </c>
      <c r="D29" s="24">
        <v>92.37</v>
      </c>
      <c r="E29" s="24"/>
      <c r="F29" s="24">
        <v>1</v>
      </c>
      <c r="G29" s="82">
        <v>1000</v>
      </c>
      <c r="H29" s="82">
        <f t="shared" si="0"/>
        <v>160</v>
      </c>
      <c r="I29" s="82">
        <f t="shared" si="1"/>
        <v>107149.20000000001</v>
      </c>
      <c r="J29" s="24">
        <v>2</v>
      </c>
      <c r="K29" s="82">
        <f t="shared" si="2"/>
        <v>1036.5999999999999</v>
      </c>
      <c r="L29" s="82">
        <f t="shared" si="3"/>
        <v>165.85599999999999</v>
      </c>
      <c r="M29" s="82">
        <f t="shared" si="4"/>
        <v>222141.72143999999</v>
      </c>
      <c r="N29" s="24">
        <v>1</v>
      </c>
      <c r="O29" s="82">
        <f t="shared" si="5"/>
        <v>1074.5395599999999</v>
      </c>
      <c r="P29" s="82">
        <f t="shared" si="6"/>
        <v>171.9263296</v>
      </c>
      <c r="Q29" s="82">
        <f t="shared" si="7"/>
        <v>99255.219157200001</v>
      </c>
    </row>
    <row r="30" spans="1:17" ht="76.5" customHeight="1" x14ac:dyDescent="0.25">
      <c r="A30" s="23" t="s">
        <v>114</v>
      </c>
      <c r="B30" s="23" t="s">
        <v>115</v>
      </c>
      <c r="C30" s="23" t="s">
        <v>116</v>
      </c>
      <c r="D30" s="24">
        <v>18</v>
      </c>
      <c r="E30" s="24"/>
      <c r="F30" s="24">
        <v>1</v>
      </c>
      <c r="G30" s="82">
        <v>1000</v>
      </c>
      <c r="H30" s="82">
        <f t="shared" si="0"/>
        <v>160</v>
      </c>
      <c r="I30" s="82">
        <f t="shared" si="1"/>
        <v>20880</v>
      </c>
      <c r="J30" s="24">
        <v>2</v>
      </c>
      <c r="K30" s="82">
        <f t="shared" si="2"/>
        <v>1036.5999999999999</v>
      </c>
      <c r="L30" s="82">
        <f t="shared" si="3"/>
        <v>165.85599999999999</v>
      </c>
      <c r="M30" s="82">
        <f t="shared" si="4"/>
        <v>43288.415999999997</v>
      </c>
      <c r="N30" s="24">
        <v>1</v>
      </c>
      <c r="O30" s="82">
        <f t="shared" si="5"/>
        <v>1074.5395599999999</v>
      </c>
      <c r="P30" s="82">
        <f t="shared" si="6"/>
        <v>171.9263296</v>
      </c>
      <c r="Q30" s="82">
        <f t="shared" si="7"/>
        <v>19341.712079999998</v>
      </c>
    </row>
    <row r="31" spans="1:17" x14ac:dyDescent="0.25">
      <c r="A31" s="176" t="s">
        <v>117</v>
      </c>
      <c r="B31" s="176" t="s">
        <v>118</v>
      </c>
      <c r="C31" s="23" t="s">
        <v>119</v>
      </c>
      <c r="D31" s="25">
        <v>468.1</v>
      </c>
      <c r="E31" s="24"/>
      <c r="F31" s="172">
        <v>1</v>
      </c>
      <c r="G31" s="82">
        <v>1000</v>
      </c>
      <c r="H31" s="82">
        <f t="shared" si="0"/>
        <v>160</v>
      </c>
      <c r="I31" s="82">
        <f t="shared" si="1"/>
        <v>542996</v>
      </c>
      <c r="J31" s="172">
        <v>2</v>
      </c>
      <c r="K31" s="82">
        <f t="shared" si="2"/>
        <v>1036.5999999999999</v>
      </c>
      <c r="L31" s="82">
        <f t="shared" si="3"/>
        <v>165.85599999999999</v>
      </c>
      <c r="M31" s="82">
        <f t="shared" si="4"/>
        <v>1125739.3071999999</v>
      </c>
      <c r="N31" s="24">
        <v>1</v>
      </c>
      <c r="O31" s="82">
        <f t="shared" si="5"/>
        <v>1074.5395599999999</v>
      </c>
      <c r="P31" s="82">
        <f t="shared" si="6"/>
        <v>171.9263296</v>
      </c>
      <c r="Q31" s="82">
        <f t="shared" si="7"/>
        <v>502991.96803599998</v>
      </c>
    </row>
    <row r="32" spans="1:17" ht="24" x14ac:dyDescent="0.25">
      <c r="A32" s="176"/>
      <c r="B32" s="176"/>
      <c r="C32" s="23" t="s">
        <v>120</v>
      </c>
      <c r="D32" s="25">
        <v>1472.59</v>
      </c>
      <c r="E32" s="24"/>
      <c r="F32" s="173"/>
      <c r="G32" s="82">
        <v>1000</v>
      </c>
      <c r="H32" s="82">
        <f t="shared" si="0"/>
        <v>160</v>
      </c>
      <c r="I32" s="82">
        <f t="shared" si="1"/>
        <v>1708204.4</v>
      </c>
      <c r="J32" s="173"/>
      <c r="K32" s="82">
        <f t="shared" si="2"/>
        <v>1036.5999999999999</v>
      </c>
      <c r="L32" s="82">
        <f t="shared" si="3"/>
        <v>165.85599999999999</v>
      </c>
      <c r="M32" s="82">
        <f t="shared" si="4"/>
        <v>3541449.3620799994</v>
      </c>
      <c r="N32" s="24">
        <v>1</v>
      </c>
      <c r="O32" s="82">
        <f t="shared" si="5"/>
        <v>1074.5395599999999</v>
      </c>
      <c r="P32" s="82">
        <f t="shared" si="6"/>
        <v>171.9263296</v>
      </c>
      <c r="Q32" s="82">
        <f t="shared" si="7"/>
        <v>1582356.2106603999</v>
      </c>
    </row>
    <row r="33" spans="1:17" x14ac:dyDescent="0.25">
      <c r="A33" s="176"/>
      <c r="B33" s="176"/>
      <c r="C33" s="23" t="s">
        <v>121</v>
      </c>
      <c r="D33" s="25"/>
      <c r="E33" s="24">
        <v>675.82</v>
      </c>
      <c r="F33" s="173"/>
      <c r="G33" s="82">
        <v>1000</v>
      </c>
      <c r="H33" s="82">
        <f t="shared" si="0"/>
        <v>160</v>
      </c>
      <c r="I33" s="82">
        <f>(H33+G33)*E33</f>
        <v>783951.20000000007</v>
      </c>
      <c r="J33" s="173"/>
      <c r="K33" s="82">
        <f t="shared" si="2"/>
        <v>1036.5999999999999</v>
      </c>
      <c r="L33" s="82">
        <f t="shared" si="3"/>
        <v>165.85599999999999</v>
      </c>
      <c r="M33" s="82">
        <f>((L33+K33)*E33)*2</f>
        <v>1625287.62784</v>
      </c>
      <c r="N33" s="24">
        <v>1</v>
      </c>
      <c r="O33" s="82">
        <f t="shared" si="5"/>
        <v>1074.5395599999999</v>
      </c>
      <c r="P33" s="82">
        <f t="shared" si="6"/>
        <v>171.9263296</v>
      </c>
      <c r="Q33" s="82">
        <f>(P33+O33)*E33</f>
        <v>842386.57750947191</v>
      </c>
    </row>
    <row r="34" spans="1:17" x14ac:dyDescent="0.25">
      <c r="A34" s="176"/>
      <c r="B34" s="176"/>
      <c r="C34" s="23" t="s">
        <v>122</v>
      </c>
      <c r="D34" s="25">
        <v>211.02</v>
      </c>
      <c r="E34" s="24"/>
      <c r="F34" s="173"/>
      <c r="G34" s="82">
        <v>1000</v>
      </c>
      <c r="H34" s="82">
        <f t="shared" si="0"/>
        <v>160</v>
      </c>
      <c r="I34" s="82">
        <f t="shared" si="1"/>
        <v>244783.2</v>
      </c>
      <c r="J34" s="173"/>
      <c r="K34" s="82">
        <f t="shared" si="2"/>
        <v>1036.5999999999999</v>
      </c>
      <c r="L34" s="82">
        <f t="shared" si="3"/>
        <v>165.85599999999999</v>
      </c>
      <c r="M34" s="82">
        <f t="shared" si="4"/>
        <v>507484.53023999999</v>
      </c>
      <c r="N34" s="24">
        <v>1</v>
      </c>
      <c r="O34" s="82">
        <f t="shared" si="5"/>
        <v>1074.5395599999999</v>
      </c>
      <c r="P34" s="82">
        <f t="shared" si="6"/>
        <v>171.9263296</v>
      </c>
      <c r="Q34" s="82">
        <f t="shared" ref="Q34:Q42" si="8">(P77+O34)*D34</f>
        <v>226749.3379512</v>
      </c>
    </row>
    <row r="35" spans="1:17" x14ac:dyDescent="0.25">
      <c r="A35" s="176"/>
      <c r="B35" s="176"/>
      <c r="C35" s="23" t="s">
        <v>123</v>
      </c>
      <c r="D35" s="25">
        <v>573.64</v>
      </c>
      <c r="E35" s="24"/>
      <c r="F35" s="173"/>
      <c r="G35" s="82">
        <v>1000</v>
      </c>
      <c r="H35" s="82">
        <f t="shared" si="0"/>
        <v>160</v>
      </c>
      <c r="I35" s="82">
        <f t="shared" si="1"/>
        <v>665422.4</v>
      </c>
      <c r="J35" s="173"/>
      <c r="K35" s="82">
        <f t="shared" si="2"/>
        <v>1036.5999999999999</v>
      </c>
      <c r="L35" s="82">
        <f t="shared" si="3"/>
        <v>165.85599999999999</v>
      </c>
      <c r="M35" s="82">
        <f t="shared" si="4"/>
        <v>1379553.7196799999</v>
      </c>
      <c r="N35" s="24">
        <v>1</v>
      </c>
      <c r="O35" s="82">
        <f t="shared" si="5"/>
        <v>1074.5395599999999</v>
      </c>
      <c r="P35" s="82">
        <f t="shared" si="6"/>
        <v>171.9263296</v>
      </c>
      <c r="Q35" s="82">
        <f t="shared" si="8"/>
        <v>616398.8731983999</v>
      </c>
    </row>
    <row r="36" spans="1:17" x14ac:dyDescent="0.25">
      <c r="A36" s="176"/>
      <c r="B36" s="176"/>
      <c r="C36" s="23" t="s">
        <v>124</v>
      </c>
      <c r="D36" s="25">
        <v>549.02</v>
      </c>
      <c r="E36" s="24"/>
      <c r="F36" s="173"/>
      <c r="G36" s="82">
        <v>1000</v>
      </c>
      <c r="H36" s="82">
        <f t="shared" si="0"/>
        <v>160</v>
      </c>
      <c r="I36" s="82">
        <f t="shared" si="1"/>
        <v>636863.19999999995</v>
      </c>
      <c r="J36" s="173"/>
      <c r="K36" s="82">
        <f t="shared" si="2"/>
        <v>1036.5999999999999</v>
      </c>
      <c r="L36" s="82">
        <f t="shared" si="3"/>
        <v>165.85599999999999</v>
      </c>
      <c r="M36" s="82">
        <f t="shared" si="4"/>
        <v>1320344.7862399998</v>
      </c>
      <c r="N36" s="24">
        <v>1</v>
      </c>
      <c r="O36" s="82">
        <f t="shared" si="5"/>
        <v>1074.5395599999999</v>
      </c>
      <c r="P36" s="82">
        <f t="shared" si="6"/>
        <v>171.9263296</v>
      </c>
      <c r="Q36" s="82">
        <f t="shared" si="8"/>
        <v>589943.70923119993</v>
      </c>
    </row>
    <row r="37" spans="1:17" x14ac:dyDescent="0.25">
      <c r="A37" s="176"/>
      <c r="B37" s="176"/>
      <c r="C37" s="23" t="s">
        <v>125</v>
      </c>
      <c r="D37" s="25">
        <v>549.02</v>
      </c>
      <c r="E37" s="24"/>
      <c r="F37" s="173"/>
      <c r="G37" s="82">
        <v>1000</v>
      </c>
      <c r="H37" s="82">
        <f t="shared" si="0"/>
        <v>160</v>
      </c>
      <c r="I37" s="82">
        <f t="shared" si="1"/>
        <v>636863.19999999995</v>
      </c>
      <c r="J37" s="173"/>
      <c r="K37" s="82">
        <f t="shared" si="2"/>
        <v>1036.5999999999999</v>
      </c>
      <c r="L37" s="82">
        <f t="shared" si="3"/>
        <v>165.85599999999999</v>
      </c>
      <c r="M37" s="82">
        <f t="shared" si="4"/>
        <v>1320344.7862399998</v>
      </c>
      <c r="N37" s="24">
        <v>1</v>
      </c>
      <c r="O37" s="82">
        <f t="shared" si="5"/>
        <v>1074.5395599999999</v>
      </c>
      <c r="P37" s="82">
        <f t="shared" si="6"/>
        <v>171.9263296</v>
      </c>
      <c r="Q37" s="82">
        <f t="shared" si="8"/>
        <v>589943.70923119993</v>
      </c>
    </row>
    <row r="38" spans="1:17" x14ac:dyDescent="0.25">
      <c r="A38" s="176"/>
      <c r="B38" s="176"/>
      <c r="C38" s="23" t="s">
        <v>126</v>
      </c>
      <c r="D38" s="25">
        <v>549.02</v>
      </c>
      <c r="E38" s="24"/>
      <c r="F38" s="173"/>
      <c r="G38" s="82">
        <v>1000</v>
      </c>
      <c r="H38" s="82">
        <f t="shared" si="0"/>
        <v>160</v>
      </c>
      <c r="I38" s="82">
        <f t="shared" si="1"/>
        <v>636863.19999999995</v>
      </c>
      <c r="J38" s="173"/>
      <c r="K38" s="82">
        <f t="shared" si="2"/>
        <v>1036.5999999999999</v>
      </c>
      <c r="L38" s="82">
        <f t="shared" si="3"/>
        <v>165.85599999999999</v>
      </c>
      <c r="M38" s="82">
        <f t="shared" si="4"/>
        <v>1320344.7862399998</v>
      </c>
      <c r="N38" s="24">
        <v>1</v>
      </c>
      <c r="O38" s="82">
        <f t="shared" si="5"/>
        <v>1074.5395599999999</v>
      </c>
      <c r="P38" s="82">
        <f t="shared" si="6"/>
        <v>171.9263296</v>
      </c>
      <c r="Q38" s="82">
        <f t="shared" si="8"/>
        <v>589943.70923119993</v>
      </c>
    </row>
    <row r="39" spans="1:17" x14ac:dyDescent="0.25">
      <c r="A39" s="176"/>
      <c r="B39" s="176"/>
      <c r="C39" s="23" t="s">
        <v>127</v>
      </c>
      <c r="D39" s="25">
        <v>549.02</v>
      </c>
      <c r="E39" s="24"/>
      <c r="F39" s="173"/>
      <c r="G39" s="82">
        <v>1000</v>
      </c>
      <c r="H39" s="82">
        <f t="shared" si="0"/>
        <v>160</v>
      </c>
      <c r="I39" s="82">
        <f t="shared" si="1"/>
        <v>636863.19999999995</v>
      </c>
      <c r="J39" s="173"/>
      <c r="K39" s="82">
        <f t="shared" si="2"/>
        <v>1036.5999999999999</v>
      </c>
      <c r="L39" s="82">
        <f t="shared" si="3"/>
        <v>165.85599999999999</v>
      </c>
      <c r="M39" s="82">
        <f t="shared" si="4"/>
        <v>1320344.7862399998</v>
      </c>
      <c r="N39" s="24">
        <v>1</v>
      </c>
      <c r="O39" s="82">
        <f t="shared" si="5"/>
        <v>1074.5395599999999</v>
      </c>
      <c r="P39" s="82">
        <f t="shared" si="6"/>
        <v>171.9263296</v>
      </c>
      <c r="Q39" s="82">
        <f t="shared" si="8"/>
        <v>589943.70923119993</v>
      </c>
    </row>
    <row r="40" spans="1:17" x14ac:dyDescent="0.25">
      <c r="A40" s="176"/>
      <c r="B40" s="176"/>
      <c r="C40" s="23" t="s">
        <v>128</v>
      </c>
      <c r="D40" s="25">
        <v>549.02</v>
      </c>
      <c r="E40" s="24"/>
      <c r="F40" s="173"/>
      <c r="G40" s="82">
        <v>1000</v>
      </c>
      <c r="H40" s="82">
        <f t="shared" si="0"/>
        <v>160</v>
      </c>
      <c r="I40" s="82">
        <f t="shared" si="1"/>
        <v>636863.19999999995</v>
      </c>
      <c r="J40" s="173"/>
      <c r="K40" s="82">
        <f t="shared" si="2"/>
        <v>1036.5999999999999</v>
      </c>
      <c r="L40" s="82">
        <f t="shared" si="3"/>
        <v>165.85599999999999</v>
      </c>
      <c r="M40" s="82">
        <f t="shared" si="4"/>
        <v>1320344.7862399998</v>
      </c>
      <c r="N40" s="24">
        <v>1</v>
      </c>
      <c r="O40" s="82">
        <f t="shared" si="5"/>
        <v>1074.5395599999999</v>
      </c>
      <c r="P40" s="82">
        <f t="shared" si="6"/>
        <v>171.9263296</v>
      </c>
      <c r="Q40" s="82">
        <f t="shared" si="8"/>
        <v>589943.70923119993</v>
      </c>
    </row>
    <row r="41" spans="1:17" x14ac:dyDescent="0.25">
      <c r="A41" s="176"/>
      <c r="B41" s="176"/>
      <c r="C41" s="23" t="s">
        <v>129</v>
      </c>
      <c r="D41" s="25">
        <v>549.02</v>
      </c>
      <c r="E41" s="24"/>
      <c r="F41" s="173"/>
      <c r="G41" s="82">
        <v>1000</v>
      </c>
      <c r="H41" s="82">
        <f t="shared" si="0"/>
        <v>160</v>
      </c>
      <c r="I41" s="82">
        <f t="shared" si="1"/>
        <v>636863.19999999995</v>
      </c>
      <c r="J41" s="173"/>
      <c r="K41" s="82">
        <f t="shared" si="2"/>
        <v>1036.5999999999999</v>
      </c>
      <c r="L41" s="82">
        <f t="shared" si="3"/>
        <v>165.85599999999999</v>
      </c>
      <c r="M41" s="82">
        <f t="shared" si="4"/>
        <v>1320344.7862399998</v>
      </c>
      <c r="N41" s="24">
        <v>1</v>
      </c>
      <c r="O41" s="82">
        <f t="shared" si="5"/>
        <v>1074.5395599999999</v>
      </c>
      <c r="P41" s="82">
        <f t="shared" si="6"/>
        <v>171.9263296</v>
      </c>
      <c r="Q41" s="82">
        <f t="shared" si="8"/>
        <v>589943.70923119993</v>
      </c>
    </row>
    <row r="42" spans="1:17" ht="24" x14ac:dyDescent="0.25">
      <c r="A42" s="176"/>
      <c r="B42" s="176"/>
      <c r="C42" s="23" t="s">
        <v>130</v>
      </c>
      <c r="D42" s="25">
        <v>292.3</v>
      </c>
      <c r="E42" s="24"/>
      <c r="F42" s="173"/>
      <c r="G42" s="82">
        <v>1000</v>
      </c>
      <c r="H42" s="82">
        <f t="shared" si="0"/>
        <v>160</v>
      </c>
      <c r="I42" s="82">
        <f t="shared" si="1"/>
        <v>339068</v>
      </c>
      <c r="J42" s="173"/>
      <c r="K42" s="82">
        <f t="shared" si="2"/>
        <v>1036.5999999999999</v>
      </c>
      <c r="L42" s="82">
        <f t="shared" si="3"/>
        <v>165.85599999999999</v>
      </c>
      <c r="M42" s="82">
        <f t="shared" si="4"/>
        <v>702955.77759999991</v>
      </c>
      <c r="N42" s="24">
        <v>1</v>
      </c>
      <c r="O42" s="82">
        <f t="shared" si="5"/>
        <v>1074.5395599999999</v>
      </c>
      <c r="P42" s="82">
        <f t="shared" si="6"/>
        <v>171.9263296</v>
      </c>
      <c r="Q42" s="82">
        <f t="shared" si="8"/>
        <v>314087.91338799999</v>
      </c>
    </row>
    <row r="43" spans="1:17" x14ac:dyDescent="0.25">
      <c r="A43" s="176"/>
      <c r="B43" s="176"/>
      <c r="C43" s="23" t="s">
        <v>131</v>
      </c>
      <c r="D43" s="24"/>
      <c r="E43" s="25">
        <v>256.72000000000003</v>
      </c>
      <c r="F43" s="174"/>
      <c r="G43" s="82">
        <v>1000</v>
      </c>
      <c r="H43" s="82">
        <f t="shared" si="0"/>
        <v>160</v>
      </c>
      <c r="I43" s="82">
        <f>(H43+G43)*E43</f>
        <v>297795.20000000001</v>
      </c>
      <c r="J43" s="174"/>
      <c r="K43" s="82">
        <f t="shared" si="2"/>
        <v>1036.5999999999999</v>
      </c>
      <c r="L43" s="82">
        <f t="shared" si="3"/>
        <v>165.85599999999999</v>
      </c>
      <c r="M43" s="82">
        <f>((L43+K43)*E43)*2</f>
        <v>617389.00864000001</v>
      </c>
      <c r="N43" s="24">
        <v>1</v>
      </c>
      <c r="O43" s="82">
        <f t="shared" si="5"/>
        <v>1074.5395599999999</v>
      </c>
      <c r="P43" s="82">
        <f t="shared" si="6"/>
        <v>171.9263296</v>
      </c>
      <c r="Q43" s="82">
        <f>(P43+O43)*E43</f>
        <v>319992.72317811201</v>
      </c>
    </row>
    <row r="44" spans="1:17" ht="72.75" customHeight="1" x14ac:dyDescent="0.25">
      <c r="A44" s="27"/>
      <c r="B44" s="28"/>
      <c r="C44" s="28"/>
      <c r="D44" s="29"/>
      <c r="E44" s="29"/>
      <c r="F44" s="30"/>
      <c r="G44" s="181" t="s">
        <v>208</v>
      </c>
      <c r="H44" s="181"/>
      <c r="I44" s="77">
        <f>SUM(I4:I43)</f>
        <v>12703882.799999995</v>
      </c>
      <c r="J44" s="31"/>
      <c r="K44" s="181" t="s">
        <v>136</v>
      </c>
      <c r="L44" s="181"/>
      <c r="M44" s="84">
        <f>SUM(M4:M43)</f>
        <v>26337689.820959996</v>
      </c>
      <c r="N44" s="31"/>
      <c r="O44" s="181" t="s">
        <v>144</v>
      </c>
      <c r="P44" s="181"/>
      <c r="Q44" s="84" t="e">
        <f>SUM(Q4:Q43)</f>
        <v>#REF!</v>
      </c>
    </row>
    <row r="45" spans="1:17" ht="12.75" customHeight="1" x14ac:dyDescent="0.25">
      <c r="A45" s="17"/>
      <c r="B45" s="17"/>
      <c r="C45" s="17"/>
      <c r="D45" s="16"/>
      <c r="E45" s="16"/>
      <c r="F45" s="20"/>
      <c r="G45" s="79"/>
      <c r="I45" s="76"/>
      <c r="Q45" s="87"/>
    </row>
    <row r="46" spans="1:17" ht="30.75" customHeight="1" x14ac:dyDescent="0.25">
      <c r="A46" s="78"/>
      <c r="B46" s="18"/>
      <c r="C46" s="18"/>
      <c r="D46" s="19"/>
      <c r="E46" s="19"/>
      <c r="F46" s="18"/>
      <c r="G46" s="166" t="s">
        <v>190</v>
      </c>
      <c r="H46" s="167"/>
      <c r="I46" s="167"/>
      <c r="J46" s="168"/>
      <c r="K46" s="177" t="e">
        <f>(I44+Q44+M44)</f>
        <v>#REF!</v>
      </c>
      <c r="L46" s="178"/>
      <c r="M46" s="178"/>
      <c r="N46" s="178"/>
      <c r="O46" s="178"/>
      <c r="P46" s="178"/>
      <c r="Q46" s="179"/>
    </row>
    <row r="47" spans="1:17" ht="6.75" customHeight="1" x14ac:dyDescent="0.25">
      <c r="A47" s="18"/>
      <c r="B47" s="18"/>
      <c r="C47" s="18"/>
      <c r="D47" s="19"/>
      <c r="E47" s="19"/>
      <c r="F47" s="18"/>
      <c r="G47" s="182"/>
      <c r="H47" s="182"/>
      <c r="I47" s="20"/>
    </row>
    <row r="48" spans="1:17" ht="15" customHeight="1" x14ac:dyDescent="0.25">
      <c r="A48" s="123" t="s">
        <v>177</v>
      </c>
      <c r="B48" s="123"/>
      <c r="C48" s="123"/>
      <c r="D48" s="123"/>
      <c r="E48" s="123"/>
      <c r="F48" s="123"/>
      <c r="G48" s="123"/>
      <c r="H48" s="123"/>
      <c r="I48" s="123"/>
      <c r="J48" s="123"/>
      <c r="K48" s="123"/>
      <c r="L48" s="123"/>
      <c r="M48" s="123"/>
      <c r="N48" s="123"/>
      <c r="O48" s="123"/>
      <c r="P48" s="123"/>
      <c r="Q48" s="123"/>
    </row>
    <row r="49" spans="1:17" x14ac:dyDescent="0.25">
      <c r="A49" s="123"/>
      <c r="B49" s="123"/>
      <c r="C49" s="123"/>
      <c r="D49" s="123"/>
      <c r="E49" s="123"/>
      <c r="F49" s="123"/>
      <c r="G49" s="123"/>
      <c r="H49" s="123"/>
      <c r="I49" s="123"/>
      <c r="J49" s="123"/>
      <c r="K49" s="123"/>
      <c r="L49" s="123"/>
      <c r="M49" s="123"/>
      <c r="N49" s="123"/>
      <c r="O49" s="123"/>
      <c r="P49" s="123"/>
      <c r="Q49" s="123"/>
    </row>
    <row r="50" spans="1:17" ht="5.25" customHeight="1" x14ac:dyDescent="0.25">
      <c r="A50" s="1"/>
      <c r="B50" s="1"/>
      <c r="C50" s="1"/>
      <c r="D50" s="1"/>
      <c r="E50" s="1"/>
      <c r="F50" s="1"/>
      <c r="G50" s="1"/>
      <c r="H50" s="1"/>
    </row>
    <row r="51" spans="1:17" ht="54" x14ac:dyDescent="0.25">
      <c r="A51" s="49" t="s">
        <v>178</v>
      </c>
      <c r="B51" s="121" t="s">
        <v>179</v>
      </c>
      <c r="C51" s="121"/>
      <c r="D51" s="121"/>
      <c r="E51" s="121"/>
      <c r="F51" s="121"/>
      <c r="G51" s="121"/>
      <c r="H51" s="50" t="s">
        <v>180</v>
      </c>
    </row>
    <row r="52" spans="1:17" x14ac:dyDescent="0.25">
      <c r="A52" s="73"/>
      <c r="B52" s="188"/>
      <c r="C52" s="189"/>
      <c r="D52" s="189"/>
      <c r="E52" s="189"/>
      <c r="F52" s="189"/>
      <c r="G52" s="189"/>
      <c r="H52" s="74"/>
      <c r="K52" s="76"/>
      <c r="L52" s="76"/>
    </row>
    <row r="53" spans="1:17" ht="31.5" customHeight="1" x14ac:dyDescent="0.25">
      <c r="A53" s="127" t="s">
        <v>182</v>
      </c>
      <c r="B53" s="127"/>
      <c r="C53" s="127"/>
      <c r="D53" s="127"/>
      <c r="E53" s="127"/>
      <c r="F53" s="127"/>
      <c r="G53" s="127"/>
      <c r="H53" s="127"/>
      <c r="I53" s="127"/>
      <c r="J53" s="127"/>
      <c r="K53" s="127"/>
      <c r="L53" s="127"/>
      <c r="M53" s="127"/>
      <c r="N53" s="127"/>
      <c r="O53" s="127"/>
      <c r="P53" s="127"/>
      <c r="Q53" s="127"/>
    </row>
    <row r="55" spans="1:17" ht="58.5" customHeight="1" x14ac:dyDescent="0.25">
      <c r="A55" s="183" t="s">
        <v>215</v>
      </c>
      <c r="B55" s="184"/>
      <c r="C55" s="184"/>
      <c r="D55" s="184"/>
      <c r="E55" s="184"/>
      <c r="F55" s="184"/>
      <c r="G55" s="184"/>
      <c r="H55" s="184"/>
      <c r="I55" s="184"/>
      <c r="J55" s="184"/>
      <c r="K55" s="184"/>
      <c r="L55" s="184"/>
      <c r="M55" s="184"/>
      <c r="N55" s="184"/>
      <c r="O55" s="184"/>
      <c r="P55" s="184"/>
      <c r="Q55" s="185"/>
    </row>
    <row r="56" spans="1:17" ht="26.25" customHeight="1" x14ac:dyDescent="0.25">
      <c r="A56" s="183" t="s">
        <v>209</v>
      </c>
      <c r="B56" s="186"/>
      <c r="C56" s="186"/>
      <c r="D56" s="186"/>
      <c r="E56" s="186"/>
      <c r="F56" s="186"/>
      <c r="G56" s="186"/>
      <c r="H56" s="186"/>
      <c r="I56" s="186"/>
      <c r="J56" s="186"/>
      <c r="K56" s="186"/>
      <c r="L56" s="186"/>
      <c r="M56" s="186"/>
      <c r="N56" s="186"/>
      <c r="O56" s="186"/>
      <c r="P56" s="186"/>
      <c r="Q56" s="187"/>
    </row>
    <row r="57" spans="1:17" ht="36.75" customHeight="1" x14ac:dyDescent="0.25">
      <c r="A57" s="119" t="s">
        <v>216</v>
      </c>
      <c r="B57" s="119"/>
      <c r="C57" s="119"/>
      <c r="D57" s="119"/>
      <c r="E57" s="119"/>
      <c r="F57" s="119"/>
      <c r="G57" s="119"/>
      <c r="H57" s="119"/>
      <c r="I57" s="119"/>
      <c r="J57" s="119"/>
      <c r="K57" s="119"/>
      <c r="L57" s="119"/>
      <c r="M57" s="119"/>
      <c r="N57" s="119"/>
      <c r="O57" s="119"/>
      <c r="P57" s="119"/>
      <c r="Q57" s="119"/>
    </row>
    <row r="58" spans="1:17" x14ac:dyDescent="0.25">
      <c r="A58" s="180" t="s">
        <v>225</v>
      </c>
      <c r="B58" s="180"/>
      <c r="C58" s="180"/>
      <c r="D58" s="180"/>
      <c r="E58" s="180"/>
      <c r="F58" s="180"/>
      <c r="G58" s="180"/>
      <c r="H58" s="180"/>
      <c r="I58" s="180"/>
      <c r="J58" s="180"/>
      <c r="K58" s="180"/>
      <c r="L58" s="180"/>
      <c r="M58" s="180"/>
      <c r="N58" s="180"/>
      <c r="O58" s="180"/>
      <c r="P58" s="180"/>
      <c r="Q58" s="180"/>
    </row>
    <row r="59" spans="1:17" x14ac:dyDescent="0.25">
      <c r="A59" s="162" t="s">
        <v>231</v>
      </c>
      <c r="B59" s="163"/>
      <c r="C59" s="163"/>
      <c r="D59" s="163"/>
      <c r="E59" s="163"/>
      <c r="F59" s="163"/>
      <c r="G59" s="163"/>
      <c r="H59" s="163"/>
      <c r="I59" s="163"/>
      <c r="J59" s="163"/>
      <c r="K59" s="163"/>
      <c r="L59" s="163"/>
      <c r="M59" s="163"/>
      <c r="N59" s="163"/>
      <c r="O59" s="163"/>
      <c r="P59" s="163"/>
      <c r="Q59" s="164"/>
    </row>
  </sheetData>
  <mergeCells count="24">
    <mergeCell ref="G47:H47"/>
    <mergeCell ref="A55:Q55"/>
    <mergeCell ref="A57:Q57"/>
    <mergeCell ref="A56:Q56"/>
    <mergeCell ref="A53:Q53"/>
    <mergeCell ref="B51:G51"/>
    <mergeCell ref="B52:G52"/>
    <mergeCell ref="A48:Q49"/>
    <mergeCell ref="A59:Q59"/>
    <mergeCell ref="F1:I1"/>
    <mergeCell ref="G46:J46"/>
    <mergeCell ref="J1:M1"/>
    <mergeCell ref="N1:Q1"/>
    <mergeCell ref="A1:E1"/>
    <mergeCell ref="J31:J43"/>
    <mergeCell ref="F31:F43"/>
    <mergeCell ref="A2:C2"/>
    <mergeCell ref="A31:A43"/>
    <mergeCell ref="B31:B43"/>
    <mergeCell ref="K46:Q46"/>
    <mergeCell ref="A58:Q58"/>
    <mergeCell ref="G44:H44"/>
    <mergeCell ref="K44:L44"/>
    <mergeCell ref="O44:P4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9"/>
  <sheetViews>
    <sheetView topLeftCell="A34" workbookViewId="0">
      <selection activeCell="C43" sqref="C43"/>
    </sheetView>
  </sheetViews>
  <sheetFormatPr baseColWidth="10" defaultRowHeight="16.5" x14ac:dyDescent="0.3"/>
  <cols>
    <col min="1" max="1" width="31.5703125" style="33" customWidth="1"/>
    <col min="2" max="22" width="11.42578125" style="33"/>
    <col min="23" max="23" width="11.42578125" style="113"/>
    <col min="24" max="16384" width="11.42578125" style="33"/>
  </cols>
  <sheetData>
    <row r="1" spans="1:31" ht="48" customHeight="1" x14ac:dyDescent="0.3">
      <c r="A1" s="198" t="s">
        <v>29</v>
      </c>
      <c r="B1" s="199" t="s">
        <v>145</v>
      </c>
      <c r="C1" s="199"/>
      <c r="D1" s="199"/>
      <c r="E1" s="199"/>
      <c r="F1" s="199" t="s">
        <v>146</v>
      </c>
      <c r="G1" s="199"/>
      <c r="H1" s="199"/>
      <c r="I1" s="199"/>
      <c r="J1" s="199" t="s">
        <v>147</v>
      </c>
      <c r="K1" s="199"/>
      <c r="L1" s="199"/>
      <c r="M1" s="199"/>
      <c r="N1" s="199" t="s">
        <v>148</v>
      </c>
      <c r="O1" s="199"/>
      <c r="P1" s="199"/>
      <c r="Q1" s="199"/>
      <c r="R1" s="199" t="s">
        <v>149</v>
      </c>
      <c r="S1" s="199"/>
      <c r="T1" s="199"/>
      <c r="U1" s="199"/>
      <c r="V1" s="199" t="s">
        <v>228</v>
      </c>
      <c r="W1" s="199"/>
      <c r="X1" s="199"/>
      <c r="Y1" s="199"/>
      <c r="Z1" s="195" t="s">
        <v>229</v>
      </c>
      <c r="AA1" s="196"/>
      <c r="AB1" s="196"/>
      <c r="AC1" s="197"/>
    </row>
    <row r="2" spans="1:31" ht="45" x14ac:dyDescent="0.3">
      <c r="A2" s="198"/>
      <c r="B2" s="36" t="s">
        <v>8</v>
      </c>
      <c r="C2" s="37" t="s">
        <v>30</v>
      </c>
      <c r="D2" s="37" t="s">
        <v>192</v>
      </c>
      <c r="E2" s="37" t="s">
        <v>176</v>
      </c>
      <c r="F2" s="36" t="s">
        <v>8</v>
      </c>
      <c r="G2" s="37" t="s">
        <v>30</v>
      </c>
      <c r="H2" s="37" t="s">
        <v>192</v>
      </c>
      <c r="I2" s="37" t="s">
        <v>196</v>
      </c>
      <c r="J2" s="36" t="s">
        <v>8</v>
      </c>
      <c r="K2" s="37" t="s">
        <v>30</v>
      </c>
      <c r="L2" s="37" t="s">
        <v>192</v>
      </c>
      <c r="M2" s="37" t="s">
        <v>196</v>
      </c>
      <c r="N2" s="36" t="s">
        <v>8</v>
      </c>
      <c r="O2" s="37" t="s">
        <v>30</v>
      </c>
      <c r="P2" s="37" t="s">
        <v>192</v>
      </c>
      <c r="Q2" s="37" t="s">
        <v>196</v>
      </c>
      <c r="R2" s="36" t="s">
        <v>8</v>
      </c>
      <c r="S2" s="37" t="s">
        <v>30</v>
      </c>
      <c r="T2" s="37" t="s">
        <v>192</v>
      </c>
      <c r="U2" s="37" t="s">
        <v>196</v>
      </c>
      <c r="V2" s="36" t="s">
        <v>8</v>
      </c>
      <c r="W2" s="109" t="s">
        <v>30</v>
      </c>
      <c r="X2" s="37" t="s">
        <v>192</v>
      </c>
      <c r="Y2" s="37" t="s">
        <v>196</v>
      </c>
      <c r="Z2" s="36" t="s">
        <v>8</v>
      </c>
      <c r="AA2" s="37" t="s">
        <v>30</v>
      </c>
      <c r="AB2" s="37" t="s">
        <v>192</v>
      </c>
      <c r="AC2" s="37" t="s">
        <v>196</v>
      </c>
    </row>
    <row r="3" spans="1:31" x14ac:dyDescent="0.3">
      <c r="A3" s="38" t="s">
        <v>150</v>
      </c>
      <c r="B3" s="39">
        <v>1</v>
      </c>
      <c r="C3" s="93">
        <v>25000</v>
      </c>
      <c r="D3" s="93">
        <f>(C3*16%)</f>
        <v>4000</v>
      </c>
      <c r="E3" s="93">
        <f>((D3+C3)*B3)</f>
        <v>29000</v>
      </c>
      <c r="F3" s="40" t="s">
        <v>151</v>
      </c>
      <c r="G3" s="94"/>
      <c r="H3" s="94"/>
      <c r="I3" s="94"/>
      <c r="J3" s="40" t="s">
        <v>151</v>
      </c>
      <c r="K3" s="94"/>
      <c r="L3" s="94"/>
      <c r="M3" s="94"/>
      <c r="N3" s="40" t="s">
        <v>151</v>
      </c>
      <c r="O3" s="94"/>
      <c r="P3" s="94"/>
      <c r="Q3" s="94"/>
      <c r="R3" s="40" t="s">
        <v>151</v>
      </c>
      <c r="S3" s="94"/>
      <c r="T3" s="94"/>
      <c r="U3" s="94"/>
      <c r="V3" s="40" t="s">
        <v>151</v>
      </c>
      <c r="W3" s="110"/>
      <c r="X3" s="94"/>
      <c r="Y3" s="94"/>
      <c r="Z3" s="40" t="s">
        <v>151</v>
      </c>
      <c r="AA3" s="105"/>
      <c r="AB3" s="105"/>
      <c r="AC3" s="106"/>
    </row>
    <row r="4" spans="1:31" ht="81" x14ac:dyDescent="0.3">
      <c r="A4" s="43" t="s">
        <v>152</v>
      </c>
      <c r="B4" s="40">
        <v>2</v>
      </c>
      <c r="C4" s="94">
        <v>2083.33</v>
      </c>
      <c r="D4" s="93">
        <f t="shared" ref="D4:D20" si="0">(C4*16%)</f>
        <v>333.33280000000002</v>
      </c>
      <c r="E4" s="93">
        <f t="shared" ref="E4:E20" si="1">((D4+C4)*B4)</f>
        <v>4833.3256000000001</v>
      </c>
      <c r="F4" s="40" t="s">
        <v>151</v>
      </c>
      <c r="G4" s="94"/>
      <c r="H4" s="94"/>
      <c r="I4" s="94"/>
      <c r="J4" s="40" t="s">
        <v>151</v>
      </c>
      <c r="K4" s="94"/>
      <c r="L4" s="94"/>
      <c r="M4" s="94"/>
      <c r="N4" s="40" t="s">
        <v>151</v>
      </c>
      <c r="O4" s="94"/>
      <c r="P4" s="94"/>
      <c r="Q4" s="94"/>
      <c r="R4" s="40" t="s">
        <v>151</v>
      </c>
      <c r="S4" s="94"/>
      <c r="T4" s="94"/>
      <c r="U4" s="94"/>
      <c r="V4" s="40" t="s">
        <v>151</v>
      </c>
      <c r="W4" s="110"/>
      <c r="X4" s="94"/>
      <c r="Y4" s="94"/>
      <c r="Z4" s="40" t="s">
        <v>151</v>
      </c>
      <c r="AA4" s="105"/>
      <c r="AB4" s="105"/>
      <c r="AC4" s="106"/>
    </row>
    <row r="5" spans="1:31" ht="67.5" x14ac:dyDescent="0.3">
      <c r="A5" s="38" t="s">
        <v>153</v>
      </c>
      <c r="B5" s="40" t="s">
        <v>154</v>
      </c>
      <c r="C5" s="94">
        <v>2083.33</v>
      </c>
      <c r="D5" s="93">
        <f t="shared" si="0"/>
        <v>333.33280000000002</v>
      </c>
      <c r="E5" s="93">
        <f>(D5+C5)</f>
        <v>2416.6628000000001</v>
      </c>
      <c r="F5" s="40" t="s">
        <v>151</v>
      </c>
      <c r="G5" s="94"/>
      <c r="H5" s="94"/>
      <c r="I5" s="94"/>
      <c r="J5" s="40" t="s">
        <v>151</v>
      </c>
      <c r="K5" s="94"/>
      <c r="L5" s="94"/>
      <c r="M5" s="94"/>
      <c r="N5" s="40" t="s">
        <v>151</v>
      </c>
      <c r="O5" s="94"/>
      <c r="P5" s="94"/>
      <c r="Q5" s="94"/>
      <c r="R5" s="40" t="s">
        <v>151</v>
      </c>
      <c r="S5" s="94"/>
      <c r="T5" s="94"/>
      <c r="U5" s="94"/>
      <c r="V5" s="40" t="s">
        <v>151</v>
      </c>
      <c r="W5" s="110"/>
      <c r="X5" s="94"/>
      <c r="Y5" s="94"/>
      <c r="Z5" s="40" t="s">
        <v>151</v>
      </c>
      <c r="AA5" s="105"/>
      <c r="AB5" s="105"/>
      <c r="AC5" s="106"/>
    </row>
    <row r="6" spans="1:31" ht="40.5" x14ac:dyDescent="0.3">
      <c r="A6" s="38" t="s">
        <v>155</v>
      </c>
      <c r="B6" s="39">
        <v>6</v>
      </c>
      <c r="C6" s="93">
        <v>29791.67</v>
      </c>
      <c r="D6" s="93">
        <f t="shared" si="0"/>
        <v>4766.6671999999999</v>
      </c>
      <c r="E6" s="93">
        <f t="shared" si="1"/>
        <v>207350.02319999997</v>
      </c>
      <c r="F6" s="40">
        <v>1</v>
      </c>
      <c r="G6" s="94">
        <v>29791.67</v>
      </c>
      <c r="H6" s="94">
        <f>(G6*16%)</f>
        <v>4766.6671999999999</v>
      </c>
      <c r="I6" s="94">
        <f>((H6+G6)*F6)</f>
        <v>34558.337199999994</v>
      </c>
      <c r="J6" s="40">
        <v>1</v>
      </c>
      <c r="K6" s="94">
        <v>29791.67</v>
      </c>
      <c r="L6" s="94">
        <f>(K6*16%)</f>
        <v>4766.6671999999999</v>
      </c>
      <c r="M6" s="94">
        <f>(L6+K6)</f>
        <v>34558.337199999994</v>
      </c>
      <c r="N6" s="40">
        <v>1</v>
      </c>
      <c r="O6" s="94">
        <v>29791.67</v>
      </c>
      <c r="P6" s="94">
        <f>(O6*16%)</f>
        <v>4766.6671999999999</v>
      </c>
      <c r="Q6" s="94">
        <f>(P6+O6)*N6</f>
        <v>34558.337199999994</v>
      </c>
      <c r="R6" s="40">
        <v>1</v>
      </c>
      <c r="S6" s="94">
        <v>29792</v>
      </c>
      <c r="T6" s="94">
        <f>(S6*16%)</f>
        <v>4766.72</v>
      </c>
      <c r="U6" s="94">
        <f>(T6+S6)*R6</f>
        <v>34558.720000000001</v>
      </c>
      <c r="V6" s="40">
        <v>2</v>
      </c>
      <c r="W6" s="110">
        <v>44687.5</v>
      </c>
      <c r="X6" s="94"/>
      <c r="Y6" s="94">
        <f>(X6+W6)*V6</f>
        <v>89375</v>
      </c>
      <c r="Z6" s="40" t="s">
        <v>156</v>
      </c>
      <c r="AA6" s="105">
        <v>29791.67</v>
      </c>
      <c r="AB6" s="105">
        <f>(AA6*16%)</f>
        <v>4766.6671999999999</v>
      </c>
      <c r="AC6" s="106">
        <f>((AB6+AA6)*1)*22</f>
        <v>760283.41839999985</v>
      </c>
      <c r="AE6" s="107"/>
    </row>
    <row r="7" spans="1:31" x14ac:dyDescent="0.3">
      <c r="A7" s="38" t="s">
        <v>157</v>
      </c>
      <c r="B7" s="39">
        <v>15</v>
      </c>
      <c r="C7" s="93">
        <v>125</v>
      </c>
      <c r="D7" s="93">
        <f t="shared" si="0"/>
        <v>20</v>
      </c>
      <c r="E7" s="93">
        <f t="shared" si="1"/>
        <v>2175</v>
      </c>
      <c r="F7" s="40">
        <v>2</v>
      </c>
      <c r="G7" s="94">
        <v>125</v>
      </c>
      <c r="H7" s="94">
        <f>(G7*16%)</f>
        <v>20</v>
      </c>
      <c r="I7" s="94">
        <f>((H7+G7)*F7)</f>
        <v>290</v>
      </c>
      <c r="J7" s="40">
        <v>2</v>
      </c>
      <c r="K7" s="94">
        <v>125</v>
      </c>
      <c r="L7" s="94">
        <f>(K7*16%)</f>
        <v>20</v>
      </c>
      <c r="M7" s="94">
        <f>(L7+K7)*2</f>
        <v>290</v>
      </c>
      <c r="N7" s="40">
        <v>2</v>
      </c>
      <c r="O7" s="94">
        <v>125</v>
      </c>
      <c r="P7" s="94">
        <f>(O7*16%)</f>
        <v>20</v>
      </c>
      <c r="Q7" s="94">
        <f>(P7+O7)*N7</f>
        <v>290</v>
      </c>
      <c r="R7" s="40">
        <v>2</v>
      </c>
      <c r="S7" s="94">
        <v>125</v>
      </c>
      <c r="T7" s="94">
        <f>(S7*16%)</f>
        <v>20</v>
      </c>
      <c r="U7" s="94">
        <f>(T7+S7)*R7</f>
        <v>290</v>
      </c>
      <c r="V7" s="40">
        <v>4</v>
      </c>
      <c r="W7" s="110">
        <v>187.5</v>
      </c>
      <c r="X7" s="94"/>
      <c r="Y7" s="94">
        <f>(X7+W7)*V7</f>
        <v>750</v>
      </c>
      <c r="Z7" s="40" t="s">
        <v>158</v>
      </c>
      <c r="AA7" s="105">
        <v>125</v>
      </c>
      <c r="AB7" s="105">
        <f>(AA7*16%)</f>
        <v>20</v>
      </c>
      <c r="AC7" s="106">
        <f>((AB7+AA7)*1)*22</f>
        <v>3190</v>
      </c>
      <c r="AE7" s="107"/>
    </row>
    <row r="8" spans="1:31" x14ac:dyDescent="0.3">
      <c r="A8" s="38" t="s">
        <v>159</v>
      </c>
      <c r="B8" s="39">
        <v>60</v>
      </c>
      <c r="C8" s="93">
        <v>937.5</v>
      </c>
      <c r="D8" s="93">
        <f t="shared" si="0"/>
        <v>150</v>
      </c>
      <c r="E8" s="93">
        <f t="shared" si="1"/>
        <v>65250</v>
      </c>
      <c r="F8" s="40" t="s">
        <v>151</v>
      </c>
      <c r="G8" s="94"/>
      <c r="H8" s="94"/>
      <c r="I8" s="94"/>
      <c r="J8" s="40" t="s">
        <v>151</v>
      </c>
      <c r="K8" s="94"/>
      <c r="L8" s="94"/>
      <c r="M8" s="94"/>
      <c r="N8" s="40" t="s">
        <v>151</v>
      </c>
      <c r="O8" s="94"/>
      <c r="P8" s="94"/>
      <c r="Q8" s="94"/>
      <c r="R8" s="40" t="s">
        <v>151</v>
      </c>
      <c r="S8" s="94"/>
      <c r="T8" s="94"/>
      <c r="U8" s="94"/>
      <c r="V8" s="40" t="s">
        <v>151</v>
      </c>
      <c r="W8" s="110"/>
      <c r="X8" s="94"/>
      <c r="Y8" s="94"/>
      <c r="Z8" s="40" t="s">
        <v>151</v>
      </c>
      <c r="AA8" s="105"/>
      <c r="AB8" s="105"/>
      <c r="AC8" s="106"/>
    </row>
    <row r="9" spans="1:31" x14ac:dyDescent="0.3">
      <c r="A9" s="38" t="s">
        <v>160</v>
      </c>
      <c r="B9" s="39">
        <v>9</v>
      </c>
      <c r="C9" s="93">
        <v>4375</v>
      </c>
      <c r="D9" s="93">
        <f t="shared" si="0"/>
        <v>700</v>
      </c>
      <c r="E9" s="93">
        <f t="shared" si="1"/>
        <v>45675</v>
      </c>
      <c r="F9" s="40">
        <v>1</v>
      </c>
      <c r="G9" s="94">
        <v>4375</v>
      </c>
      <c r="H9" s="94">
        <f>(G9*16%)</f>
        <v>700</v>
      </c>
      <c r="I9" s="94">
        <f>((H9+G9)*F9)</f>
        <v>5075</v>
      </c>
      <c r="J9" s="40">
        <v>1</v>
      </c>
      <c r="K9" s="94">
        <v>4375</v>
      </c>
      <c r="L9" s="94">
        <f>(K9*16%)</f>
        <v>700</v>
      </c>
      <c r="M9" s="94">
        <f>(L9+K9)</f>
        <v>5075</v>
      </c>
      <c r="N9" s="40">
        <v>1</v>
      </c>
      <c r="O9" s="94">
        <v>4375</v>
      </c>
      <c r="P9" s="94">
        <f>(O9*16%)</f>
        <v>700</v>
      </c>
      <c r="Q9" s="94">
        <f>(P9+O9)*N9</f>
        <v>5075</v>
      </c>
      <c r="R9" s="40">
        <v>1</v>
      </c>
      <c r="S9" s="94">
        <v>4375</v>
      </c>
      <c r="T9" s="94">
        <f>(S9*16%)</f>
        <v>700</v>
      </c>
      <c r="U9" s="94">
        <f>(T9+S9)*R9</f>
        <v>5075</v>
      </c>
      <c r="V9" s="40" t="s">
        <v>161</v>
      </c>
      <c r="W9" s="110"/>
      <c r="X9" s="94"/>
      <c r="Y9" s="94"/>
      <c r="Z9" s="40" t="s">
        <v>161</v>
      </c>
      <c r="AA9" s="105"/>
      <c r="AB9" s="105"/>
      <c r="AC9" s="106"/>
    </row>
    <row r="10" spans="1:31" x14ac:dyDescent="0.3">
      <c r="A10" s="38" t="s">
        <v>162</v>
      </c>
      <c r="B10" s="39">
        <v>8</v>
      </c>
      <c r="C10" s="93">
        <v>10583.33</v>
      </c>
      <c r="D10" s="93">
        <f t="shared" si="0"/>
        <v>1693.3328000000001</v>
      </c>
      <c r="E10" s="93">
        <f t="shared" si="1"/>
        <v>98213.3024</v>
      </c>
      <c r="F10" s="40">
        <v>1</v>
      </c>
      <c r="G10" s="94">
        <v>10583.33</v>
      </c>
      <c r="H10" s="94">
        <f>(G10*16%)</f>
        <v>1693.3328000000001</v>
      </c>
      <c r="I10" s="94">
        <f>((H10+G10)*F10)</f>
        <v>12276.6628</v>
      </c>
      <c r="J10" s="40">
        <v>1</v>
      </c>
      <c r="K10" s="94">
        <v>10583.33</v>
      </c>
      <c r="L10" s="94">
        <f>(K10*16%)</f>
        <v>1693.3328000000001</v>
      </c>
      <c r="M10" s="94">
        <f>(L10+K10)</f>
        <v>12276.6628</v>
      </c>
      <c r="N10" s="40" t="s">
        <v>151</v>
      </c>
      <c r="O10" s="94"/>
      <c r="P10" s="94"/>
      <c r="Q10" s="94"/>
      <c r="R10" s="40">
        <v>1</v>
      </c>
      <c r="S10" s="94">
        <v>10583</v>
      </c>
      <c r="T10" s="94">
        <f>(S10*16%)</f>
        <v>1693.28</v>
      </c>
      <c r="U10" s="94">
        <f>(T10+S10)*R10</f>
        <v>12276.28</v>
      </c>
      <c r="V10" s="40" t="s">
        <v>161</v>
      </c>
      <c r="W10" s="110"/>
      <c r="X10" s="94"/>
      <c r="Y10" s="94"/>
      <c r="Z10" s="40" t="s">
        <v>161</v>
      </c>
      <c r="AA10" s="105"/>
      <c r="AB10" s="105"/>
      <c r="AC10" s="106"/>
    </row>
    <row r="11" spans="1:31" x14ac:dyDescent="0.3">
      <c r="A11" s="38" t="s">
        <v>163</v>
      </c>
      <c r="B11" s="39">
        <v>8</v>
      </c>
      <c r="C11" s="93">
        <v>11875</v>
      </c>
      <c r="D11" s="93">
        <f t="shared" si="0"/>
        <v>1900</v>
      </c>
      <c r="E11" s="93">
        <f t="shared" si="1"/>
        <v>110200</v>
      </c>
      <c r="F11" s="40" t="s">
        <v>151</v>
      </c>
      <c r="G11" s="94"/>
      <c r="H11" s="94"/>
      <c r="I11" s="94"/>
      <c r="J11" s="40" t="s">
        <v>151</v>
      </c>
      <c r="K11" s="94"/>
      <c r="L11" s="94"/>
      <c r="M11" s="94"/>
      <c r="N11" s="40" t="s">
        <v>151</v>
      </c>
      <c r="O11" s="94"/>
      <c r="P11" s="94"/>
      <c r="Q11" s="94"/>
      <c r="R11" s="40" t="s">
        <v>151</v>
      </c>
      <c r="S11" s="94"/>
      <c r="T11" s="94"/>
      <c r="U11" s="94"/>
      <c r="V11" s="40" t="s">
        <v>151</v>
      </c>
      <c r="W11" s="110"/>
      <c r="X11" s="94"/>
      <c r="Y11" s="94"/>
      <c r="Z11" s="40" t="s">
        <v>151</v>
      </c>
      <c r="AA11" s="105"/>
      <c r="AB11" s="105"/>
      <c r="AC11" s="106"/>
    </row>
    <row r="12" spans="1:31" x14ac:dyDescent="0.3">
      <c r="A12" s="38" t="s">
        <v>164</v>
      </c>
      <c r="B12" s="39">
        <v>1</v>
      </c>
      <c r="C12" s="93">
        <v>6666.67</v>
      </c>
      <c r="D12" s="93">
        <f t="shared" si="0"/>
        <v>1066.6672000000001</v>
      </c>
      <c r="E12" s="93">
        <f t="shared" si="1"/>
        <v>7733.3371999999999</v>
      </c>
      <c r="F12" s="40" t="s">
        <v>151</v>
      </c>
      <c r="G12" s="94"/>
      <c r="H12" s="94"/>
      <c r="I12" s="94"/>
      <c r="J12" s="40" t="s">
        <v>151</v>
      </c>
      <c r="K12" s="94"/>
      <c r="L12" s="94"/>
      <c r="M12" s="94"/>
      <c r="N12" s="40" t="s">
        <v>151</v>
      </c>
      <c r="O12" s="94"/>
      <c r="P12" s="94"/>
      <c r="Q12" s="94"/>
      <c r="R12" s="40" t="s">
        <v>151</v>
      </c>
      <c r="S12" s="94"/>
      <c r="T12" s="94"/>
      <c r="U12" s="94"/>
      <c r="V12" s="40" t="s">
        <v>151</v>
      </c>
      <c r="W12" s="110"/>
      <c r="X12" s="94"/>
      <c r="Y12" s="94"/>
      <c r="Z12" s="40" t="s">
        <v>151</v>
      </c>
      <c r="AA12" s="105"/>
      <c r="AB12" s="105"/>
      <c r="AC12" s="106"/>
    </row>
    <row r="13" spans="1:31" x14ac:dyDescent="0.3">
      <c r="A13" s="38" t="s">
        <v>165</v>
      </c>
      <c r="B13" s="39">
        <v>1</v>
      </c>
      <c r="C13" s="93">
        <v>3125</v>
      </c>
      <c r="D13" s="93">
        <f t="shared" si="0"/>
        <v>500</v>
      </c>
      <c r="E13" s="93">
        <f t="shared" si="1"/>
        <v>3625</v>
      </c>
      <c r="F13" s="40" t="s">
        <v>151</v>
      </c>
      <c r="G13" s="94"/>
      <c r="H13" s="94"/>
      <c r="I13" s="94"/>
      <c r="J13" s="40" t="s">
        <v>151</v>
      </c>
      <c r="K13" s="94"/>
      <c r="L13" s="94"/>
      <c r="M13" s="94"/>
      <c r="N13" s="40" t="s">
        <v>151</v>
      </c>
      <c r="O13" s="94"/>
      <c r="P13" s="94"/>
      <c r="Q13" s="94"/>
      <c r="R13" s="40" t="s">
        <v>151</v>
      </c>
      <c r="S13" s="94"/>
      <c r="T13" s="94"/>
      <c r="U13" s="94"/>
      <c r="V13" s="40" t="s">
        <v>151</v>
      </c>
      <c r="W13" s="110"/>
      <c r="X13" s="94"/>
      <c r="Y13" s="94"/>
      <c r="Z13" s="40" t="s">
        <v>151</v>
      </c>
      <c r="AA13" s="105"/>
      <c r="AB13" s="105"/>
      <c r="AC13" s="106"/>
    </row>
    <row r="14" spans="1:31" ht="27" x14ac:dyDescent="0.3">
      <c r="A14" s="38" t="s">
        <v>166</v>
      </c>
      <c r="B14" s="39">
        <v>2</v>
      </c>
      <c r="C14" s="93">
        <v>5000</v>
      </c>
      <c r="D14" s="93">
        <f t="shared" si="0"/>
        <v>800</v>
      </c>
      <c r="E14" s="93">
        <f t="shared" si="1"/>
        <v>11600</v>
      </c>
      <c r="F14" s="40" t="s">
        <v>151</v>
      </c>
      <c r="G14" s="94"/>
      <c r="H14" s="94"/>
      <c r="I14" s="94"/>
      <c r="J14" s="40" t="s">
        <v>151</v>
      </c>
      <c r="K14" s="94"/>
      <c r="L14" s="94"/>
      <c r="M14" s="94"/>
      <c r="N14" s="40" t="s">
        <v>151</v>
      </c>
      <c r="O14" s="94"/>
      <c r="P14" s="94"/>
      <c r="Q14" s="94"/>
      <c r="R14" s="40" t="s">
        <v>151</v>
      </c>
      <c r="S14" s="94"/>
      <c r="T14" s="94"/>
      <c r="U14" s="94"/>
      <c r="V14" s="40" t="s">
        <v>151</v>
      </c>
      <c r="W14" s="110"/>
      <c r="X14" s="94"/>
      <c r="Y14" s="94"/>
      <c r="Z14" s="40" t="s">
        <v>151</v>
      </c>
      <c r="AA14" s="105"/>
      <c r="AB14" s="105"/>
      <c r="AC14" s="106"/>
    </row>
    <row r="15" spans="1:31" ht="54" x14ac:dyDescent="0.3">
      <c r="A15" s="38" t="s">
        <v>167</v>
      </c>
      <c r="B15" s="39">
        <v>1</v>
      </c>
      <c r="C15" s="93">
        <v>70416.67</v>
      </c>
      <c r="D15" s="93">
        <f t="shared" si="0"/>
        <v>11266.6672</v>
      </c>
      <c r="E15" s="93">
        <f t="shared" si="1"/>
        <v>81683.337199999994</v>
      </c>
      <c r="F15" s="40" t="s">
        <v>151</v>
      </c>
      <c r="G15" s="94"/>
      <c r="H15" s="94"/>
      <c r="I15" s="94"/>
      <c r="J15" s="40" t="s">
        <v>151</v>
      </c>
      <c r="K15" s="94"/>
      <c r="L15" s="94"/>
      <c r="M15" s="94"/>
      <c r="N15" s="40" t="s">
        <v>151</v>
      </c>
      <c r="O15" s="94"/>
      <c r="P15" s="94"/>
      <c r="Q15" s="94"/>
      <c r="R15" s="40" t="s">
        <v>151</v>
      </c>
      <c r="S15" s="94"/>
      <c r="T15" s="94"/>
      <c r="U15" s="94"/>
      <c r="V15" s="40" t="s">
        <v>151</v>
      </c>
      <c r="W15" s="110"/>
      <c r="X15" s="94"/>
      <c r="Y15" s="94"/>
      <c r="Z15" s="40" t="s">
        <v>151</v>
      </c>
      <c r="AA15" s="105"/>
      <c r="AB15" s="105"/>
      <c r="AC15" s="106"/>
    </row>
    <row r="16" spans="1:31" x14ac:dyDescent="0.3">
      <c r="A16" s="38" t="s">
        <v>168</v>
      </c>
      <c r="B16" s="39">
        <v>2</v>
      </c>
      <c r="C16" s="93">
        <v>1041.67</v>
      </c>
      <c r="D16" s="93">
        <f t="shared" si="0"/>
        <v>166.66720000000001</v>
      </c>
      <c r="E16" s="93">
        <f t="shared" si="1"/>
        <v>2416.6744000000003</v>
      </c>
      <c r="F16" s="40">
        <v>1</v>
      </c>
      <c r="G16" s="94">
        <v>1041.67</v>
      </c>
      <c r="H16" s="94">
        <f>(G16*16%)</f>
        <v>166.66720000000001</v>
      </c>
      <c r="I16" s="94">
        <f>((H16+G16)*F16)</f>
        <v>1208.3372000000002</v>
      </c>
      <c r="J16" s="40">
        <v>1</v>
      </c>
      <c r="K16" s="94">
        <v>1041.67</v>
      </c>
      <c r="L16" s="94">
        <f>(K16*16%)</f>
        <v>166.66720000000001</v>
      </c>
      <c r="M16" s="94">
        <f>(L16+K16)</f>
        <v>1208.3372000000002</v>
      </c>
      <c r="N16" s="40">
        <v>1</v>
      </c>
      <c r="O16" s="94">
        <v>1041.67</v>
      </c>
      <c r="P16" s="94">
        <f>(O16*16%)</f>
        <v>166.66720000000001</v>
      </c>
      <c r="Q16" s="94">
        <f>(P16+O16)</f>
        <v>1208.3372000000002</v>
      </c>
      <c r="R16" s="40">
        <v>1</v>
      </c>
      <c r="S16" s="94">
        <v>1042</v>
      </c>
      <c r="T16" s="94">
        <f>(S16*16%)</f>
        <v>166.72</v>
      </c>
      <c r="U16" s="94">
        <f>(T16+S16)*R16</f>
        <v>1208.72</v>
      </c>
      <c r="V16" s="40">
        <v>2</v>
      </c>
      <c r="W16" s="110">
        <v>1562.5</v>
      </c>
      <c r="X16" s="94"/>
      <c r="Y16" s="94">
        <f>(X16+W16)*V16</f>
        <v>3125</v>
      </c>
      <c r="Z16" s="40" t="s">
        <v>156</v>
      </c>
      <c r="AA16" s="105">
        <v>1041.67</v>
      </c>
      <c r="AB16" s="105">
        <f>(AA16*16%)</f>
        <v>166.66720000000001</v>
      </c>
      <c r="AC16" s="106">
        <f>((AB16+AA16)*1)*22</f>
        <v>26583.418400000002</v>
      </c>
    </row>
    <row r="17" spans="1:29" x14ac:dyDescent="0.3">
      <c r="A17" s="38" t="s">
        <v>169</v>
      </c>
      <c r="B17" s="39">
        <v>1</v>
      </c>
      <c r="C17" s="93">
        <v>20000</v>
      </c>
      <c r="D17" s="93">
        <f t="shared" si="0"/>
        <v>3200</v>
      </c>
      <c r="E17" s="93">
        <f t="shared" si="1"/>
        <v>23200</v>
      </c>
      <c r="F17" s="40" t="s">
        <v>151</v>
      </c>
      <c r="G17" s="94"/>
      <c r="H17" s="94"/>
      <c r="I17" s="94"/>
      <c r="J17" s="40" t="s">
        <v>151</v>
      </c>
      <c r="K17" s="94"/>
      <c r="L17" s="94"/>
      <c r="M17" s="94"/>
      <c r="N17" s="40" t="s">
        <v>151</v>
      </c>
      <c r="O17" s="94"/>
      <c r="P17" s="94"/>
      <c r="Q17" s="94"/>
      <c r="R17" s="40" t="s">
        <v>151</v>
      </c>
      <c r="S17" s="94"/>
      <c r="T17" s="94"/>
      <c r="U17" s="94"/>
      <c r="V17" s="40" t="s">
        <v>151</v>
      </c>
      <c r="W17" s="110"/>
      <c r="X17" s="94"/>
      <c r="Y17" s="94"/>
      <c r="Z17" s="40" t="s">
        <v>151</v>
      </c>
      <c r="AA17" s="105"/>
      <c r="AB17" s="105"/>
      <c r="AC17" s="106"/>
    </row>
    <row r="18" spans="1:29" x14ac:dyDescent="0.3">
      <c r="A18" s="38" t="s">
        <v>170</v>
      </c>
      <c r="B18" s="39">
        <v>1</v>
      </c>
      <c r="C18" s="93">
        <v>68750</v>
      </c>
      <c r="D18" s="93">
        <f t="shared" si="0"/>
        <v>11000</v>
      </c>
      <c r="E18" s="93">
        <f t="shared" si="1"/>
        <v>79750</v>
      </c>
      <c r="F18" s="40" t="s">
        <v>151</v>
      </c>
      <c r="G18" s="94"/>
      <c r="H18" s="94"/>
      <c r="I18" s="94"/>
      <c r="J18" s="40" t="s">
        <v>151</v>
      </c>
      <c r="K18" s="94"/>
      <c r="L18" s="94"/>
      <c r="M18" s="94"/>
      <c r="N18" s="40" t="s">
        <v>151</v>
      </c>
      <c r="O18" s="94"/>
      <c r="P18" s="94"/>
      <c r="Q18" s="94"/>
      <c r="R18" s="40" t="s">
        <v>151</v>
      </c>
      <c r="S18" s="94"/>
      <c r="T18" s="94"/>
      <c r="U18" s="94"/>
      <c r="V18" s="40" t="s">
        <v>151</v>
      </c>
      <c r="W18" s="110"/>
      <c r="X18" s="94"/>
      <c r="Y18" s="94"/>
      <c r="Z18" s="40" t="s">
        <v>151</v>
      </c>
      <c r="AA18" s="105"/>
      <c r="AB18" s="105"/>
      <c r="AC18" s="106"/>
    </row>
    <row r="19" spans="1:29" x14ac:dyDescent="0.3">
      <c r="A19" s="38" t="s">
        <v>171</v>
      </c>
      <c r="B19" s="39">
        <v>9</v>
      </c>
      <c r="C19" s="93">
        <v>458.33</v>
      </c>
      <c r="D19" s="93">
        <f t="shared" si="0"/>
        <v>73.332800000000006</v>
      </c>
      <c r="E19" s="93">
        <f t="shared" si="1"/>
        <v>4784.9651999999996</v>
      </c>
      <c r="F19" s="40">
        <v>1</v>
      </c>
      <c r="G19" s="94">
        <v>458.33</v>
      </c>
      <c r="H19" s="94">
        <f>(G19*16%)</f>
        <v>73.332800000000006</v>
      </c>
      <c r="I19" s="94">
        <f>((H19+G19)*F19)</f>
        <v>531.66279999999995</v>
      </c>
      <c r="J19" s="40">
        <v>1</v>
      </c>
      <c r="K19" s="94">
        <v>458.33</v>
      </c>
      <c r="L19" s="94">
        <f>(K19*16%)</f>
        <v>73.332800000000006</v>
      </c>
      <c r="M19" s="94">
        <f>(L19+K19)</f>
        <v>531.66279999999995</v>
      </c>
      <c r="N19" s="40">
        <v>1</v>
      </c>
      <c r="O19" s="94">
        <v>458.33</v>
      </c>
      <c r="P19" s="94">
        <f>(O19*16%)</f>
        <v>73.332800000000006</v>
      </c>
      <c r="Q19" s="94">
        <f>(P19+O19)</f>
        <v>531.66279999999995</v>
      </c>
      <c r="R19" s="40">
        <v>1</v>
      </c>
      <c r="S19" s="94">
        <v>458</v>
      </c>
      <c r="T19" s="94">
        <f>(S19*16%)</f>
        <v>73.28</v>
      </c>
      <c r="U19" s="94">
        <f>(T19+S19)*R19</f>
        <v>531.28</v>
      </c>
      <c r="V19" s="40">
        <v>2</v>
      </c>
      <c r="W19" s="110">
        <v>687.5</v>
      </c>
      <c r="X19" s="94"/>
      <c r="Y19" s="94">
        <f>(X19+W19)*V19</f>
        <v>1375</v>
      </c>
      <c r="Z19" s="40" t="s">
        <v>156</v>
      </c>
      <c r="AA19" s="105">
        <v>458.33</v>
      </c>
      <c r="AB19" s="105">
        <f>(AA19*16%)</f>
        <v>73.332800000000006</v>
      </c>
      <c r="AC19" s="106">
        <f>((AB19+AA19)*1)*22</f>
        <v>11696.5816</v>
      </c>
    </row>
    <row r="20" spans="1:29" ht="27" x14ac:dyDescent="0.3">
      <c r="A20" s="38" t="s">
        <v>172</v>
      </c>
      <c r="B20" s="39">
        <v>1</v>
      </c>
      <c r="C20" s="93">
        <v>1250</v>
      </c>
      <c r="D20" s="93">
        <f t="shared" si="0"/>
        <v>200</v>
      </c>
      <c r="E20" s="93">
        <f t="shared" si="1"/>
        <v>1450</v>
      </c>
      <c r="F20" s="40" t="s">
        <v>151</v>
      </c>
      <c r="G20" s="94"/>
      <c r="H20" s="94"/>
      <c r="I20" s="94"/>
      <c r="J20" s="40" t="s">
        <v>151</v>
      </c>
      <c r="K20" s="94"/>
      <c r="L20" s="94"/>
      <c r="M20" s="94"/>
      <c r="N20" s="40" t="s">
        <v>151</v>
      </c>
      <c r="O20" s="94"/>
      <c r="P20" s="94"/>
      <c r="Q20" s="94"/>
      <c r="R20" s="40" t="s">
        <v>151</v>
      </c>
      <c r="S20" s="94"/>
      <c r="T20" s="94"/>
      <c r="U20" s="94"/>
      <c r="V20" s="40" t="s">
        <v>151</v>
      </c>
      <c r="W20" s="110"/>
      <c r="X20" s="94"/>
      <c r="Y20" s="94"/>
      <c r="Z20" s="40" t="s">
        <v>151</v>
      </c>
      <c r="AA20" s="105"/>
      <c r="AB20" s="105"/>
      <c r="AC20" s="106"/>
    </row>
    <row r="21" spans="1:29" ht="88.5" customHeight="1" x14ac:dyDescent="0.3">
      <c r="A21" s="34"/>
      <c r="B21" s="34"/>
      <c r="C21" s="34"/>
      <c r="D21" s="42" t="s">
        <v>197</v>
      </c>
      <c r="E21" s="96">
        <f>SUM(E3:E20)*8</f>
        <v>6250853.0239999993</v>
      </c>
      <c r="F21" s="97"/>
      <c r="G21" s="97"/>
      <c r="H21" s="42" t="s">
        <v>197</v>
      </c>
      <c r="I21" s="96">
        <f>SUM(I3:I20)*8</f>
        <v>431519.99999999994</v>
      </c>
      <c r="J21" s="34"/>
      <c r="K21" s="34"/>
      <c r="L21" s="42" t="s">
        <v>197</v>
      </c>
      <c r="M21" s="96">
        <f>SUM(M3:M20)*8</f>
        <v>431519.99999999994</v>
      </c>
      <c r="N21" s="35"/>
      <c r="O21" s="35"/>
      <c r="P21" s="42" t="s">
        <v>197</v>
      </c>
      <c r="Q21" s="96">
        <f>SUM(Q3:Q20)*8</f>
        <v>333306.69759999996</v>
      </c>
      <c r="R21" s="35"/>
      <c r="S21" s="35"/>
      <c r="T21" s="42" t="s">
        <v>197</v>
      </c>
      <c r="U21" s="96">
        <f>SUM(U3:U20)*8</f>
        <v>431520</v>
      </c>
      <c r="V21" s="41"/>
      <c r="W21" s="111"/>
      <c r="X21" s="42" t="s">
        <v>197</v>
      </c>
      <c r="Y21" s="96">
        <f>SUM(Y6:Y20)*12</f>
        <v>1135500</v>
      </c>
      <c r="Z21" s="35"/>
      <c r="AA21" s="35"/>
      <c r="AB21" s="42" t="s">
        <v>197</v>
      </c>
      <c r="AC21" s="96">
        <f>SUM(AC3:AC20)*8</f>
        <v>6414027.3471999988</v>
      </c>
    </row>
    <row r="22" spans="1:29" ht="112.5" customHeight="1" x14ac:dyDescent="0.3">
      <c r="A22" s="34"/>
      <c r="B22" s="34"/>
      <c r="C22" s="34"/>
      <c r="D22" s="42" t="s">
        <v>203</v>
      </c>
      <c r="E22" s="96">
        <f>+((E21/8)*12)*3.66/100+(E21/8)*12</f>
        <v>9719451.3670175988</v>
      </c>
      <c r="F22" s="97"/>
      <c r="G22" s="34"/>
      <c r="H22" s="42" t="s">
        <v>203</v>
      </c>
      <c r="I22" s="96">
        <f>+((I21/8)*12)*3.66/100+(I21/8)*12</f>
        <v>670970.44799999986</v>
      </c>
      <c r="J22" s="34"/>
      <c r="K22" s="34"/>
      <c r="L22" s="42" t="s">
        <v>203</v>
      </c>
      <c r="M22" s="96">
        <f>+((M21/8)*12)*3.66/100+(M21/8)*12</f>
        <v>670970.44799999986</v>
      </c>
      <c r="N22" s="35"/>
      <c r="O22" s="35"/>
      <c r="P22" s="42" t="s">
        <v>203</v>
      </c>
      <c r="Q22" s="96">
        <f>+((Q21/8)*12)*3.66/100+(Q21/8)*12</f>
        <v>518258.58409823995</v>
      </c>
      <c r="R22" s="35"/>
      <c r="S22" s="35"/>
      <c r="T22" s="42" t="s">
        <v>203</v>
      </c>
      <c r="U22" s="96">
        <f>+((U21/8)*12)*3.66/100+(U21/8)*12</f>
        <v>670970.44799999997</v>
      </c>
      <c r="V22" s="41"/>
      <c r="W22" s="111"/>
      <c r="X22" s="42" t="s">
        <v>203</v>
      </c>
      <c r="Y22" s="96">
        <f>+((Y21/8)*12)*3.66/100+(Y21/8)*12</f>
        <v>1765588.95</v>
      </c>
      <c r="Z22" s="35"/>
      <c r="AA22" s="35"/>
      <c r="AB22" s="42" t="s">
        <v>203</v>
      </c>
      <c r="AC22" s="96">
        <f>+((AC21/8)*12)*3.66/100+(AC21/8)*12</f>
        <v>9973171.1221612785</v>
      </c>
    </row>
    <row r="23" spans="1:29" ht="99.75" customHeight="1" x14ac:dyDescent="0.3">
      <c r="A23" s="34"/>
      <c r="B23" s="34"/>
      <c r="C23" s="34"/>
      <c r="D23" s="42" t="s">
        <v>204</v>
      </c>
      <c r="E23" s="96">
        <f>(((E22/12)*3.66/100)+E22/12)*4</f>
        <v>3358394.4290168146</v>
      </c>
      <c r="F23" s="98"/>
      <c r="G23" s="98"/>
      <c r="H23" s="42" t="s">
        <v>204</v>
      </c>
      <c r="I23" s="96">
        <f>(((I22/12)*3.66/100)+I22/12)*4</f>
        <v>231842.65546559996</v>
      </c>
      <c r="J23" s="34"/>
      <c r="K23" s="34"/>
      <c r="L23" s="42" t="s">
        <v>204</v>
      </c>
      <c r="M23" s="96">
        <f>(((M22/12)*3.66/100)+M22/12)*4</f>
        <v>231842.65546559996</v>
      </c>
      <c r="N23" s="35"/>
      <c r="O23" s="35"/>
      <c r="P23" s="42" t="s">
        <v>204</v>
      </c>
      <c r="Q23" s="96">
        <f>(((Q22/12)*3.66/100)+Q22/12)*4</f>
        <v>179075.6160920785</v>
      </c>
      <c r="R23" s="35"/>
      <c r="S23" s="35"/>
      <c r="T23" s="42" t="s">
        <v>204</v>
      </c>
      <c r="U23" s="96">
        <f>(((U22/12)*3.66/100)+U22/12)*4</f>
        <v>231842.65546559999</v>
      </c>
      <c r="V23" s="41"/>
      <c r="W23" s="111"/>
      <c r="X23" s="42" t="s">
        <v>204</v>
      </c>
      <c r="Y23" s="96">
        <f>(((Y22/12)*3.66/100)+Y22/12)*4</f>
        <v>610069.83519000001</v>
      </c>
      <c r="Z23" s="35"/>
      <c r="AA23" s="35"/>
      <c r="AB23" s="42" t="s">
        <v>204</v>
      </c>
      <c r="AC23" s="96">
        <f>(((AC22/12)*3.66/100)+AC22/12)*4</f>
        <v>3446063.061744127</v>
      </c>
    </row>
    <row r="24" spans="1:29" ht="93" customHeight="1" x14ac:dyDescent="0.3">
      <c r="A24" s="34"/>
      <c r="B24" s="34"/>
      <c r="C24" s="34"/>
      <c r="D24" s="42" t="s">
        <v>198</v>
      </c>
      <c r="E24" s="96">
        <f>+E21+E22+E23</f>
        <v>19328698.820034411</v>
      </c>
      <c r="F24" s="34"/>
      <c r="G24" s="34"/>
      <c r="H24" s="42" t="s">
        <v>198</v>
      </c>
      <c r="I24" s="96">
        <f>+I21+I22+I23</f>
        <v>1334333.1034655999</v>
      </c>
      <c r="J24" s="34"/>
      <c r="K24" s="34"/>
      <c r="L24" s="42" t="s">
        <v>198</v>
      </c>
      <c r="M24" s="96">
        <f>+M21+M22+M23</f>
        <v>1334333.1034655999</v>
      </c>
      <c r="N24" s="34"/>
      <c r="O24" s="34"/>
      <c r="P24" s="42" t="s">
        <v>198</v>
      </c>
      <c r="Q24" s="96">
        <f>+Q21+Q22+Q23</f>
        <v>1030640.8977903185</v>
      </c>
      <c r="R24" s="34"/>
      <c r="S24" s="34"/>
      <c r="T24" s="42" t="s">
        <v>198</v>
      </c>
      <c r="U24" s="96">
        <f>+U21+U22+U23</f>
        <v>1334333.1034655999</v>
      </c>
      <c r="V24" s="34"/>
      <c r="W24" s="112"/>
      <c r="X24" s="42" t="s">
        <v>198</v>
      </c>
      <c r="Y24" s="96">
        <f>+Y21+Y22+Y23</f>
        <v>3511158.7851900002</v>
      </c>
      <c r="Z24" s="34"/>
      <c r="AA24" s="35"/>
      <c r="AB24" s="42" t="s">
        <v>198</v>
      </c>
      <c r="AC24" s="96">
        <f>+AC21+AC22+AC23</f>
        <v>19833261.531105403</v>
      </c>
    </row>
    <row r="25" spans="1:29" x14ac:dyDescent="0.3">
      <c r="A25" s="34"/>
      <c r="B25" s="34"/>
      <c r="C25" s="34"/>
      <c r="D25" s="44"/>
      <c r="E25" s="95"/>
      <c r="F25" s="34"/>
      <c r="G25" s="34"/>
      <c r="H25" s="34"/>
      <c r="I25" s="34"/>
      <c r="J25" s="34"/>
      <c r="K25" s="34"/>
      <c r="L25" s="34"/>
      <c r="M25" s="34"/>
      <c r="N25" s="34"/>
      <c r="O25" s="34"/>
      <c r="P25" s="34"/>
      <c r="Q25" s="34"/>
      <c r="R25" s="34"/>
      <c r="S25" s="34"/>
      <c r="T25" s="34"/>
      <c r="U25" s="34"/>
      <c r="V25" s="34"/>
      <c r="W25" s="112"/>
      <c r="X25" s="34"/>
      <c r="Y25" s="34"/>
      <c r="Z25" s="34"/>
      <c r="AA25" s="35"/>
      <c r="AB25" s="34"/>
      <c r="AC25" s="45"/>
    </row>
    <row r="26" spans="1:29" x14ac:dyDescent="0.3">
      <c r="A26" s="34"/>
      <c r="B26" s="34"/>
      <c r="C26" s="34"/>
      <c r="D26" s="160" t="s">
        <v>205</v>
      </c>
      <c r="E26" s="160"/>
      <c r="F26" s="160"/>
      <c r="G26" s="160"/>
      <c r="H26" s="160"/>
      <c r="I26" s="160"/>
      <c r="J26" s="160"/>
      <c r="K26" s="160"/>
      <c r="L26" s="160"/>
      <c r="M26" s="160"/>
      <c r="N26" s="160"/>
      <c r="O26" s="160"/>
      <c r="P26" s="160"/>
      <c r="Q26" s="190">
        <f>(E24+I24+M24+Q24+U24+Y24+AC24)</f>
        <v>47706759.344516933</v>
      </c>
      <c r="R26" s="191"/>
      <c r="S26" s="191"/>
      <c r="T26" s="191"/>
      <c r="U26" s="191"/>
      <c r="V26" s="191"/>
      <c r="W26" s="191"/>
      <c r="X26" s="191"/>
      <c r="Y26" s="191"/>
      <c r="Z26" s="191"/>
      <c r="AA26" s="191"/>
      <c r="AB26" s="191"/>
      <c r="AC26" s="192"/>
    </row>
    <row r="27" spans="1:29" x14ac:dyDescent="0.3">
      <c r="A27" s="34"/>
      <c r="B27" s="34"/>
      <c r="C27" s="34"/>
      <c r="D27" s="34"/>
      <c r="E27" s="34"/>
      <c r="F27" s="34"/>
      <c r="G27" s="34"/>
      <c r="H27" s="34"/>
      <c r="I27" s="34"/>
      <c r="J27" s="34"/>
      <c r="K27" s="34"/>
      <c r="L27" s="34"/>
      <c r="M27" s="34"/>
      <c r="N27" s="34"/>
      <c r="O27" s="34"/>
      <c r="P27" s="34"/>
      <c r="Q27" s="34"/>
      <c r="R27" s="34"/>
      <c r="S27" s="34"/>
      <c r="T27" s="34"/>
      <c r="U27" s="34"/>
      <c r="V27" s="34"/>
      <c r="W27" s="112"/>
      <c r="X27" s="34"/>
      <c r="Y27" s="34"/>
      <c r="Z27" s="34"/>
      <c r="AA27" s="35"/>
      <c r="AB27" s="34"/>
    </row>
    <row r="28" spans="1:29" x14ac:dyDescent="0.3">
      <c r="A28" s="123" t="s">
        <v>181</v>
      </c>
      <c r="B28" s="123"/>
      <c r="C28" s="123"/>
      <c r="D28" s="123"/>
      <c r="E28" s="123"/>
      <c r="F28" s="123"/>
      <c r="G28" s="123"/>
      <c r="H28" s="123"/>
      <c r="I28" s="123"/>
      <c r="J28" s="123"/>
      <c r="K28" s="123"/>
      <c r="L28" s="123"/>
      <c r="M28" s="123"/>
      <c r="N28" s="123"/>
      <c r="O28" s="123"/>
      <c r="P28" s="123"/>
      <c r="Q28" s="123"/>
    </row>
    <row r="29" spans="1:29" x14ac:dyDescent="0.3">
      <c r="A29" s="123"/>
      <c r="B29" s="123"/>
      <c r="C29" s="123"/>
      <c r="D29" s="123"/>
      <c r="E29" s="123"/>
      <c r="F29" s="123"/>
      <c r="G29" s="123"/>
      <c r="H29" s="123"/>
      <c r="I29" s="123"/>
      <c r="J29" s="123"/>
      <c r="K29" s="123"/>
      <c r="L29" s="123"/>
      <c r="M29" s="123"/>
      <c r="N29" s="123"/>
      <c r="O29" s="123"/>
      <c r="P29" s="123"/>
      <c r="Q29" s="123"/>
    </row>
    <row r="30" spans="1:29" x14ac:dyDescent="0.3">
      <c r="A30" s="1"/>
      <c r="B30" s="1"/>
      <c r="C30" s="1"/>
      <c r="D30" s="1"/>
      <c r="E30" s="1"/>
      <c r="F30" s="1"/>
      <c r="G30" s="1"/>
      <c r="H30" s="1"/>
      <c r="I30" s="15"/>
      <c r="J30" s="15"/>
      <c r="K30" s="15"/>
      <c r="L30" s="15"/>
      <c r="M30" s="15"/>
      <c r="N30" s="15"/>
      <c r="O30" s="15"/>
      <c r="P30" s="15"/>
      <c r="Q30" s="15"/>
    </row>
    <row r="31" spans="1:29" ht="81" x14ac:dyDescent="0.3">
      <c r="A31" s="52" t="s">
        <v>178</v>
      </c>
      <c r="B31" s="121" t="s">
        <v>179</v>
      </c>
      <c r="C31" s="121"/>
      <c r="D31" s="121"/>
      <c r="E31" s="121"/>
      <c r="F31" s="121"/>
      <c r="G31" s="121"/>
      <c r="H31" s="50" t="s">
        <v>180</v>
      </c>
      <c r="I31" s="15"/>
      <c r="J31" s="15"/>
      <c r="K31" s="15"/>
      <c r="L31" s="15"/>
      <c r="M31" s="15"/>
      <c r="N31" s="15"/>
      <c r="O31" s="15"/>
      <c r="P31" s="15"/>
      <c r="Q31" s="15"/>
    </row>
    <row r="32" spans="1:29" x14ac:dyDescent="0.3">
      <c r="A32" s="51"/>
      <c r="B32" s="157"/>
      <c r="C32" s="157"/>
      <c r="D32" s="157"/>
      <c r="E32" s="157"/>
      <c r="F32" s="157"/>
      <c r="G32" s="157"/>
      <c r="H32" s="2"/>
      <c r="I32" s="15"/>
      <c r="J32" s="15"/>
      <c r="K32" s="15"/>
      <c r="L32" s="15"/>
      <c r="M32" s="15"/>
      <c r="N32" s="15"/>
      <c r="O32" s="15"/>
      <c r="P32" s="15"/>
      <c r="Q32" s="15"/>
    </row>
    <row r="34" spans="1:17" x14ac:dyDescent="0.3">
      <c r="A34" s="127" t="s">
        <v>182</v>
      </c>
      <c r="B34" s="127"/>
      <c r="C34" s="127"/>
      <c r="D34" s="127"/>
      <c r="E34" s="127"/>
      <c r="F34" s="127"/>
      <c r="G34" s="127"/>
      <c r="H34" s="127"/>
      <c r="I34" s="127"/>
      <c r="J34" s="127"/>
      <c r="K34" s="127"/>
      <c r="L34" s="127"/>
      <c r="M34" s="127"/>
      <c r="N34" s="127"/>
      <c r="O34" s="127"/>
      <c r="P34" s="127"/>
      <c r="Q34" s="127"/>
    </row>
    <row r="35" spans="1:17" x14ac:dyDescent="0.3">
      <c r="A35" s="62"/>
      <c r="B35" s="62"/>
      <c r="C35" s="62"/>
      <c r="D35" s="62"/>
      <c r="E35" s="62"/>
      <c r="F35" s="62"/>
      <c r="G35" s="62"/>
      <c r="H35" s="62"/>
      <c r="I35" s="62"/>
      <c r="J35" s="62"/>
      <c r="K35" s="62"/>
      <c r="L35" s="62"/>
      <c r="M35" s="62"/>
      <c r="N35" s="62"/>
      <c r="O35" s="62"/>
      <c r="P35" s="62"/>
      <c r="Q35" s="62"/>
    </row>
    <row r="36" spans="1:17" ht="102" customHeight="1" x14ac:dyDescent="0.3">
      <c r="A36" s="200" t="s">
        <v>217</v>
      </c>
      <c r="B36" s="201"/>
      <c r="C36" s="201"/>
      <c r="D36" s="201"/>
      <c r="E36" s="201"/>
      <c r="F36" s="201"/>
      <c r="G36" s="201"/>
      <c r="H36" s="202"/>
    </row>
    <row r="37" spans="1:17" ht="77.25" customHeight="1" x14ac:dyDescent="0.3">
      <c r="A37" s="200" t="s">
        <v>218</v>
      </c>
      <c r="B37" s="201"/>
      <c r="C37" s="201"/>
      <c r="D37" s="201"/>
      <c r="E37" s="201"/>
      <c r="F37" s="201"/>
      <c r="G37" s="201"/>
      <c r="H37" s="202"/>
    </row>
    <row r="38" spans="1:17" ht="20.25" customHeight="1" x14ac:dyDescent="0.3">
      <c r="A38" s="200" t="s">
        <v>210</v>
      </c>
      <c r="B38" s="201"/>
      <c r="C38" s="201"/>
      <c r="D38" s="201"/>
      <c r="E38" s="201"/>
      <c r="F38" s="201"/>
      <c r="G38" s="201"/>
      <c r="H38" s="202"/>
    </row>
    <row r="39" spans="1:17" ht="33.75" customHeight="1" x14ac:dyDescent="0.3">
      <c r="A39" s="193" t="s">
        <v>230</v>
      </c>
      <c r="B39" s="194"/>
      <c r="C39" s="194"/>
      <c r="D39" s="194"/>
      <c r="E39" s="194"/>
      <c r="F39" s="194"/>
      <c r="G39" s="194"/>
      <c r="H39" s="194"/>
    </row>
  </sheetData>
  <mergeCells count="18">
    <mergeCell ref="Z1:AC1"/>
    <mergeCell ref="A1:A2"/>
    <mergeCell ref="B1:E1"/>
    <mergeCell ref="F1:I1"/>
    <mergeCell ref="J1:M1"/>
    <mergeCell ref="N1:Q1"/>
    <mergeCell ref="R1:U1"/>
    <mergeCell ref="V1:Y1"/>
    <mergeCell ref="D26:P26"/>
    <mergeCell ref="Q26:AC26"/>
    <mergeCell ref="A28:Q29"/>
    <mergeCell ref="B31:G31"/>
    <mergeCell ref="A39:H39"/>
    <mergeCell ref="A38:H38"/>
    <mergeCell ref="A36:H36"/>
    <mergeCell ref="A37:H37"/>
    <mergeCell ref="B32:G32"/>
    <mergeCell ref="A34:Q3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
  <sheetViews>
    <sheetView topLeftCell="A6" workbookViewId="0">
      <selection activeCell="G17" sqref="G17"/>
    </sheetView>
  </sheetViews>
  <sheetFormatPr baseColWidth="10" defaultRowHeight="15" x14ac:dyDescent="0.25"/>
  <cols>
    <col min="1" max="1" width="27.85546875" customWidth="1"/>
    <col min="3" max="3" width="12.7109375" bestFit="1" customWidth="1"/>
    <col min="4" max="4" width="11.5703125" bestFit="1" customWidth="1"/>
    <col min="5" max="5" width="15.140625" customWidth="1"/>
    <col min="7" max="7" width="15.5703125" customWidth="1"/>
    <col min="8" max="8" width="11.7109375" bestFit="1" customWidth="1"/>
    <col min="9" max="9" width="12.7109375" bestFit="1" customWidth="1"/>
    <col min="11" max="11" width="14.28515625" customWidth="1"/>
    <col min="13" max="13" width="14" customWidth="1"/>
  </cols>
  <sheetData>
    <row r="1" spans="1:17" ht="24.75" customHeight="1" x14ac:dyDescent="0.25">
      <c r="A1" s="208" t="s">
        <v>29</v>
      </c>
      <c r="B1" s="165" t="s">
        <v>141</v>
      </c>
      <c r="C1" s="165"/>
      <c r="D1" s="165"/>
      <c r="E1" s="165"/>
      <c r="F1" s="165" t="s">
        <v>142</v>
      </c>
      <c r="G1" s="165"/>
      <c r="H1" s="165"/>
      <c r="I1" s="165"/>
      <c r="J1" s="165" t="s">
        <v>143</v>
      </c>
      <c r="K1" s="165"/>
      <c r="L1" s="165"/>
      <c r="M1" s="165"/>
      <c r="N1" s="46"/>
    </row>
    <row r="2" spans="1:17" ht="27" x14ac:dyDescent="0.25">
      <c r="A2" s="208"/>
      <c r="B2" s="21" t="s">
        <v>138</v>
      </c>
      <c r="C2" s="21" t="s">
        <v>174</v>
      </c>
      <c r="D2" s="21" t="s">
        <v>192</v>
      </c>
      <c r="E2" s="21" t="s">
        <v>199</v>
      </c>
      <c r="F2" s="21" t="s">
        <v>137</v>
      </c>
      <c r="G2" s="21" t="s">
        <v>174</v>
      </c>
      <c r="H2" s="21" t="s">
        <v>192</v>
      </c>
      <c r="I2" s="21" t="s">
        <v>199</v>
      </c>
      <c r="J2" s="21" t="s">
        <v>137</v>
      </c>
      <c r="K2" s="21" t="s">
        <v>174</v>
      </c>
      <c r="L2" s="21" t="s">
        <v>192</v>
      </c>
      <c r="M2" s="21" t="s">
        <v>199</v>
      </c>
    </row>
    <row r="3" spans="1:17" ht="36" x14ac:dyDescent="0.25">
      <c r="A3" s="47" t="s">
        <v>173</v>
      </c>
      <c r="B3" s="26">
        <v>1</v>
      </c>
      <c r="C3" s="99">
        <v>20000000</v>
      </c>
      <c r="D3" s="99">
        <f>(C3*16%)</f>
        <v>3200000</v>
      </c>
      <c r="E3" s="99">
        <f>(D3+C3)</f>
        <v>23200000</v>
      </c>
      <c r="F3" s="26">
        <v>2</v>
      </c>
      <c r="G3" s="99">
        <f>((C3*3.66%)+C3)</f>
        <v>20732000</v>
      </c>
      <c r="H3" s="99">
        <f>(G3*16%)</f>
        <v>3317120</v>
      </c>
      <c r="I3" s="99">
        <f>((H3+G3)*2)</f>
        <v>48098240</v>
      </c>
      <c r="J3" s="26">
        <v>1</v>
      </c>
      <c r="K3" s="99">
        <f>(G3*3.66%)+G3</f>
        <v>21490791.199999999</v>
      </c>
      <c r="L3" s="99">
        <f>(K3*16%)</f>
        <v>3438526.5920000002</v>
      </c>
      <c r="M3" s="99">
        <f>(L3+K3)</f>
        <v>24929317.791999999</v>
      </c>
    </row>
    <row r="4" spans="1:17" ht="6.75" customHeight="1" x14ac:dyDescent="0.25">
      <c r="A4" s="9"/>
      <c r="D4" s="61"/>
      <c r="M4" s="32"/>
    </row>
    <row r="5" spans="1:17" ht="15" customHeight="1" x14ac:dyDescent="0.25">
      <c r="A5" s="160" t="s">
        <v>198</v>
      </c>
      <c r="B5" s="160"/>
      <c r="C5" s="160"/>
      <c r="D5" s="160"/>
      <c r="E5" s="160"/>
      <c r="F5" s="160"/>
      <c r="G5" s="160"/>
      <c r="H5" s="160"/>
      <c r="I5" s="160"/>
      <c r="J5" s="205">
        <f>(E3+I3+M3)</f>
        <v>96227557.791999996</v>
      </c>
      <c r="K5" s="206"/>
      <c r="L5" s="206"/>
      <c r="M5" s="207"/>
    </row>
    <row r="6" spans="1:17" ht="9" customHeight="1" x14ac:dyDescent="0.25">
      <c r="A6" s="9"/>
    </row>
    <row r="7" spans="1:17" ht="15" customHeight="1" x14ac:dyDescent="0.25">
      <c r="A7" s="123" t="s">
        <v>181</v>
      </c>
      <c r="B7" s="123"/>
      <c r="C7" s="123"/>
      <c r="D7" s="123"/>
      <c r="E7" s="123"/>
      <c r="F7" s="123"/>
      <c r="G7" s="123"/>
      <c r="H7" s="123"/>
      <c r="I7" s="123"/>
      <c r="J7" s="123"/>
      <c r="K7" s="123"/>
      <c r="L7" s="123"/>
      <c r="M7" s="123"/>
      <c r="N7" s="53"/>
      <c r="O7" s="53"/>
      <c r="P7" s="53"/>
      <c r="Q7" s="53"/>
    </row>
    <row r="8" spans="1:17" ht="5.25" customHeight="1" x14ac:dyDescent="0.25">
      <c r="A8" s="1"/>
      <c r="B8" s="1"/>
      <c r="C8" s="1"/>
      <c r="D8" s="1"/>
      <c r="E8" s="1"/>
      <c r="F8" s="1"/>
      <c r="G8" s="1"/>
      <c r="H8" s="1"/>
      <c r="I8" s="15"/>
      <c r="J8" s="15"/>
      <c r="K8" s="15"/>
      <c r="L8" s="15"/>
      <c r="M8" s="15"/>
      <c r="N8" s="15"/>
      <c r="O8" s="15"/>
      <c r="P8" s="15"/>
      <c r="Q8" s="15"/>
    </row>
    <row r="9" spans="1:17" ht="81" x14ac:dyDescent="0.25">
      <c r="A9" s="49" t="s">
        <v>178</v>
      </c>
      <c r="B9" s="121" t="s">
        <v>179</v>
      </c>
      <c r="C9" s="121"/>
      <c r="D9" s="121"/>
      <c r="E9" s="121"/>
      <c r="F9" s="121"/>
      <c r="G9" s="121"/>
      <c r="H9" s="50" t="s">
        <v>180</v>
      </c>
      <c r="I9" s="15"/>
      <c r="J9" s="15"/>
      <c r="K9" s="15"/>
      <c r="L9" s="15"/>
      <c r="M9" s="15"/>
      <c r="N9" s="15"/>
      <c r="O9" s="15"/>
      <c r="P9" s="15"/>
      <c r="Q9" s="15"/>
    </row>
    <row r="10" spans="1:17" x14ac:dyDescent="0.25">
      <c r="A10" s="51"/>
      <c r="B10" s="157"/>
      <c r="C10" s="157"/>
      <c r="D10" s="157"/>
      <c r="E10" s="157"/>
      <c r="F10" s="157"/>
      <c r="G10" s="157"/>
      <c r="H10" s="2"/>
      <c r="I10" s="15"/>
      <c r="J10" s="15"/>
      <c r="K10" s="15"/>
      <c r="L10" s="15"/>
      <c r="M10" s="15"/>
      <c r="N10" s="15"/>
      <c r="O10" s="15"/>
      <c r="P10" s="15"/>
      <c r="Q10" s="15"/>
    </row>
    <row r="12" spans="1:17" ht="15" customHeight="1" x14ac:dyDescent="0.25">
      <c r="A12" s="127" t="s">
        <v>182</v>
      </c>
      <c r="B12" s="127"/>
      <c r="C12" s="127"/>
      <c r="D12" s="127"/>
      <c r="E12" s="127"/>
      <c r="F12" s="127"/>
      <c r="G12" s="127"/>
      <c r="H12" s="127"/>
      <c r="I12" s="127"/>
      <c r="J12" s="127"/>
      <c r="K12" s="127"/>
      <c r="L12" s="127"/>
      <c r="M12" s="127"/>
      <c r="N12" s="55"/>
      <c r="O12" s="55"/>
      <c r="P12" s="55"/>
      <c r="Q12" s="55"/>
    </row>
    <row r="13" spans="1:17" ht="15" customHeight="1" x14ac:dyDescent="0.25">
      <c r="A13" s="62"/>
      <c r="B13" s="62"/>
      <c r="C13" s="62"/>
      <c r="D13" s="62"/>
      <c r="E13" s="62"/>
      <c r="F13" s="62"/>
      <c r="G13" s="62"/>
      <c r="H13" s="62"/>
      <c r="I13" s="62"/>
      <c r="J13" s="62"/>
      <c r="K13" s="62"/>
      <c r="L13" s="62"/>
      <c r="M13" s="62"/>
      <c r="N13" s="55"/>
      <c r="O13" s="55"/>
      <c r="P13" s="55"/>
      <c r="Q13" s="55"/>
    </row>
    <row r="14" spans="1:17" ht="63" customHeight="1" x14ac:dyDescent="0.25">
      <c r="A14" s="204" t="s">
        <v>224</v>
      </c>
      <c r="B14" s="204"/>
      <c r="C14" s="204"/>
      <c r="D14" s="204"/>
      <c r="E14" s="204"/>
      <c r="F14" s="204"/>
      <c r="G14" s="204"/>
      <c r="H14" s="204"/>
      <c r="I14" s="204"/>
      <c r="J14" s="204"/>
      <c r="K14" s="204"/>
      <c r="L14" s="204"/>
      <c r="M14" s="204"/>
    </row>
    <row r="15" spans="1:17" ht="36" customHeight="1" x14ac:dyDescent="0.25">
      <c r="A15" s="204" t="s">
        <v>219</v>
      </c>
      <c r="B15" s="204"/>
      <c r="C15" s="204"/>
      <c r="D15" s="204"/>
      <c r="E15" s="204"/>
      <c r="F15" s="204"/>
      <c r="G15" s="204"/>
      <c r="H15" s="204"/>
      <c r="I15" s="204"/>
      <c r="J15" s="204"/>
      <c r="K15" s="204"/>
      <c r="L15" s="204"/>
      <c r="M15" s="204"/>
    </row>
    <row r="16" spans="1:17" x14ac:dyDescent="0.25">
      <c r="A16" s="203" t="s">
        <v>210</v>
      </c>
      <c r="B16" s="203"/>
      <c r="C16" s="203"/>
      <c r="D16" s="203"/>
      <c r="E16" s="203"/>
      <c r="F16" s="203"/>
      <c r="G16" s="203"/>
      <c r="H16" s="203"/>
      <c r="I16" s="203"/>
      <c r="J16" s="203"/>
      <c r="K16" s="203"/>
      <c r="L16" s="203"/>
      <c r="M16" s="203"/>
    </row>
  </sheetData>
  <mergeCells count="13">
    <mergeCell ref="A7:M7"/>
    <mergeCell ref="A12:M12"/>
    <mergeCell ref="A5:I5"/>
    <mergeCell ref="F1:I1"/>
    <mergeCell ref="J1:M1"/>
    <mergeCell ref="J5:M5"/>
    <mergeCell ref="A1:A2"/>
    <mergeCell ref="B1:E1"/>
    <mergeCell ref="A16:M16"/>
    <mergeCell ref="A15:M15"/>
    <mergeCell ref="A14:M14"/>
    <mergeCell ref="B9:G9"/>
    <mergeCell ref="B10:G1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3"/>
  <sheetViews>
    <sheetView workbookViewId="0">
      <selection activeCell="E17" sqref="E17"/>
    </sheetView>
  </sheetViews>
  <sheetFormatPr baseColWidth="10" defaultRowHeight="15" x14ac:dyDescent="0.25"/>
  <cols>
    <col min="5" max="5" width="20.85546875" customWidth="1"/>
    <col min="6" max="6" width="52.28515625" customWidth="1"/>
  </cols>
  <sheetData>
    <row r="2" spans="1:6" x14ac:dyDescent="0.25">
      <c r="A2" s="213" t="s">
        <v>211</v>
      </c>
      <c r="B2" s="214"/>
      <c r="C2" s="214"/>
      <c r="D2" s="214"/>
      <c r="E2" s="214"/>
      <c r="F2" s="215"/>
    </row>
    <row r="3" spans="1:6" x14ac:dyDescent="0.25">
      <c r="A3" s="216"/>
      <c r="B3" s="217"/>
      <c r="C3" s="217"/>
      <c r="D3" s="217"/>
      <c r="E3" s="217"/>
      <c r="F3" s="218"/>
    </row>
    <row r="4" spans="1:6" x14ac:dyDescent="0.25">
      <c r="A4" s="212" t="s">
        <v>185</v>
      </c>
      <c r="B4" s="212"/>
      <c r="C4" s="212"/>
      <c r="D4" s="212"/>
      <c r="E4" s="212"/>
      <c r="F4" s="100"/>
    </row>
    <row r="5" spans="1:6" x14ac:dyDescent="0.25">
      <c r="A5" s="212" t="s">
        <v>186</v>
      </c>
      <c r="B5" s="212"/>
      <c r="C5" s="212"/>
      <c r="D5" s="212"/>
      <c r="E5" s="212"/>
      <c r="F5" s="100"/>
    </row>
    <row r="6" spans="1:6" x14ac:dyDescent="0.25">
      <c r="A6" s="212" t="s">
        <v>187</v>
      </c>
      <c r="B6" s="212"/>
      <c r="C6" s="212"/>
      <c r="D6" s="212"/>
      <c r="E6" s="212"/>
      <c r="F6" s="100"/>
    </row>
    <row r="7" spans="1:6" ht="2.25" customHeight="1" x14ac:dyDescent="0.25">
      <c r="A7" s="56"/>
      <c r="B7" s="56"/>
      <c r="C7" s="56"/>
      <c r="D7" s="56"/>
      <c r="E7" s="56"/>
      <c r="F7" s="100"/>
    </row>
    <row r="8" spans="1:6" x14ac:dyDescent="0.25">
      <c r="A8" s="212" t="s">
        <v>183</v>
      </c>
      <c r="B8" s="212"/>
      <c r="C8" s="212"/>
      <c r="D8" s="212"/>
      <c r="E8" s="212"/>
      <c r="F8" s="100"/>
    </row>
    <row r="9" spans="1:6" x14ac:dyDescent="0.25">
      <c r="A9" s="212" t="s">
        <v>184</v>
      </c>
      <c r="B9" s="212"/>
      <c r="C9" s="212"/>
      <c r="D9" s="212"/>
      <c r="E9" s="212"/>
      <c r="F9" s="102"/>
    </row>
    <row r="10" spans="1:6" ht="9" customHeight="1" x14ac:dyDescent="0.25">
      <c r="A10" s="101"/>
      <c r="B10" s="101"/>
      <c r="C10" s="101"/>
      <c r="D10" s="101"/>
      <c r="E10" s="101"/>
      <c r="F10" s="15"/>
    </row>
    <row r="11" spans="1:6" ht="42.75" customHeight="1" x14ac:dyDescent="0.25">
      <c r="A11" s="209" t="s">
        <v>221</v>
      </c>
      <c r="B11" s="210"/>
      <c r="C11" s="210"/>
      <c r="D11" s="210"/>
      <c r="E11" s="210"/>
      <c r="F11" s="211"/>
    </row>
    <row r="12" spans="1:6" ht="4.5" customHeight="1" x14ac:dyDescent="0.25">
      <c r="A12" s="103"/>
      <c r="B12" s="104"/>
      <c r="C12" s="104"/>
      <c r="D12" s="104"/>
      <c r="E12" s="104"/>
      <c r="F12" s="117"/>
    </row>
    <row r="13" spans="1:6" x14ac:dyDescent="0.25">
      <c r="F13" s="15"/>
    </row>
  </sheetData>
  <mergeCells count="7">
    <mergeCell ref="A11:F11"/>
    <mergeCell ref="A9:E9"/>
    <mergeCell ref="A2:F3"/>
    <mergeCell ref="A4:E4"/>
    <mergeCell ref="A5:E5"/>
    <mergeCell ref="A6:E6"/>
    <mergeCell ref="A8:E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Recurso Humano</vt:lpstr>
      <vt:lpstr>Insumos Aseo Cafetería</vt:lpstr>
      <vt:lpstr>Servicio Fumigación</vt:lpstr>
      <vt:lpstr>Equipos y Elementos Mínimos</vt:lpstr>
      <vt:lpstr>Lavada Vidrios</vt:lpstr>
      <vt:lpstr>VLR TOTAL PROPUESTA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 Carolina Omaña Garcia</dc:creator>
  <cp:lastModifiedBy>Julie Carolina Omaña Garcia</cp:lastModifiedBy>
  <dcterms:created xsi:type="dcterms:W3CDTF">2015-03-20T13:49:04Z</dcterms:created>
  <dcterms:modified xsi:type="dcterms:W3CDTF">2015-04-17T01:03:31Z</dcterms:modified>
</cp:coreProperties>
</file>