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305"/>
  </bookViews>
  <sheets>
    <sheet name="Recurso Humano" sheetId="7"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F4" i="7" l="1"/>
  <c r="G4" i="7" s="1"/>
  <c r="H4" i="7" s="1"/>
  <c r="F5" i="7"/>
  <c r="G5" i="7" s="1"/>
  <c r="E6" i="7"/>
  <c r="F6" i="7" s="1"/>
  <c r="G6" i="7" s="1"/>
  <c r="E7" i="7"/>
  <c r="F7" i="7" s="1"/>
  <c r="G7" i="7" s="1"/>
  <c r="E8" i="7"/>
  <c r="F8" i="7" s="1"/>
  <c r="G8" i="7" s="1"/>
  <c r="E9" i="7"/>
  <c r="F9" i="7" s="1"/>
  <c r="G9" i="7" s="1"/>
  <c r="E10" i="7"/>
  <c r="F10" i="7" s="1"/>
  <c r="G10" i="7" s="1"/>
  <c r="E11" i="7"/>
  <c r="F11" i="7" s="1"/>
  <c r="G11" i="7" s="1"/>
  <c r="E12" i="7"/>
  <c r="F12" i="7" s="1"/>
  <c r="G12" i="7" s="1"/>
  <c r="F13" i="7"/>
  <c r="G13" i="7" s="1"/>
  <c r="E14" i="7"/>
  <c r="F15" i="7"/>
  <c r="G15" i="7" s="1"/>
  <c r="H15" i="7" s="1"/>
  <c r="E17" i="7"/>
  <c r="E26" i="7" s="1"/>
  <c r="F18" i="7"/>
  <c r="G18" i="7" s="1"/>
  <c r="H18" i="7" s="1"/>
  <c r="E20" i="7"/>
  <c r="F20" i="7" s="1"/>
  <c r="G20" i="7" s="1"/>
  <c r="H20" i="7" s="1"/>
  <c r="E21" i="7"/>
  <c r="F21" i="7" s="1"/>
  <c r="G21" i="7" s="1"/>
  <c r="H21" i="7" s="1"/>
  <c r="E22" i="7"/>
  <c r="F22" i="7" s="1"/>
  <c r="G22" i="7" s="1"/>
  <c r="H22" i="7" s="1"/>
  <c r="F29" i="7"/>
  <c r="H29" i="7" s="1"/>
  <c r="E31" i="7"/>
  <c r="F31" i="7" s="1"/>
  <c r="E32" i="7"/>
  <c r="F32" i="7" s="1"/>
  <c r="E33" i="7"/>
  <c r="F33" i="7" s="1"/>
  <c r="H33" i="7" s="1"/>
  <c r="E35" i="7"/>
  <c r="F35" i="7" s="1"/>
  <c r="F39" i="7"/>
  <c r="F40" i="7"/>
  <c r="G40" i="7" s="1"/>
  <c r="H40" i="7" s="1"/>
  <c r="E41" i="7"/>
  <c r="E42" i="7"/>
  <c r="F42" i="7" s="1"/>
  <c r="G42" i="7" s="1"/>
  <c r="E43" i="7"/>
  <c r="F43" i="7" s="1"/>
  <c r="G43" i="7" s="1"/>
  <c r="E44" i="7"/>
  <c r="F44" i="7" s="1"/>
  <c r="G44" i="7" s="1"/>
  <c r="E45" i="7"/>
  <c r="F45" i="7" s="1"/>
  <c r="G45" i="7" s="1"/>
  <c r="E46" i="7"/>
  <c r="F46" i="7" s="1"/>
  <c r="G46" i="7" s="1"/>
  <c r="E47" i="7"/>
  <c r="F47" i="7" s="1"/>
  <c r="G47" i="7" s="1"/>
  <c r="F48" i="7"/>
  <c r="H48" i="7" s="1"/>
  <c r="E49" i="7"/>
  <c r="F51" i="7"/>
  <c r="G51" i="7" s="1"/>
  <c r="F52" i="7"/>
  <c r="E53" i="7"/>
  <c r="E54" i="7"/>
  <c r="F54" i="7" s="1"/>
  <c r="G54" i="7" s="1"/>
  <c r="H54" i="7" s="1"/>
  <c r="E55" i="7"/>
  <c r="F55" i="7" s="1"/>
  <c r="G55" i="7" s="1"/>
  <c r="H55" i="7" s="1"/>
  <c r="E56" i="7"/>
  <c r="F56" i="7" s="1"/>
  <c r="G56" i="7" s="1"/>
  <c r="H56" i="7" s="1"/>
  <c r="E57" i="7"/>
  <c r="F57" i="7" s="1"/>
  <c r="G57" i="7" s="1"/>
  <c r="H57" i="7" s="1"/>
  <c r="E58" i="7"/>
  <c r="F58" i="7" s="1"/>
  <c r="G58" i="7" s="1"/>
  <c r="H58" i="7" s="1"/>
  <c r="E59" i="7"/>
  <c r="F59" i="7" s="1"/>
  <c r="G59" i="7" s="1"/>
  <c r="H59" i="7" s="1"/>
  <c r="F60" i="7"/>
  <c r="H60" i="7" s="1"/>
  <c r="E61" i="7"/>
  <c r="F61" i="7" s="1"/>
  <c r="G61" i="7" s="1"/>
  <c r="F64" i="7"/>
  <c r="G64" i="7" s="1"/>
  <c r="F65" i="7"/>
  <c r="G65" i="7" s="1"/>
  <c r="E66" i="7"/>
  <c r="E67" i="7"/>
  <c r="E68" i="7"/>
  <c r="E69" i="7"/>
  <c r="E70" i="7"/>
  <c r="E71" i="7"/>
  <c r="E72" i="7"/>
  <c r="F73" i="7"/>
  <c r="H73" i="7" s="1"/>
  <c r="E74" i="7"/>
  <c r="F74" i="7" s="1"/>
  <c r="G74" i="7" s="1"/>
  <c r="H82" i="7"/>
  <c r="H85" i="7" s="1"/>
  <c r="F41" i="7" l="1"/>
  <c r="E28" i="7"/>
  <c r="F28" i="7" s="1"/>
  <c r="F30" i="7" s="1"/>
  <c r="G66" i="7"/>
  <c r="F53" i="7"/>
  <c r="H65" i="7"/>
  <c r="H51" i="7"/>
  <c r="H32" i="7"/>
  <c r="H13" i="7"/>
  <c r="H74" i="7"/>
  <c r="F72" i="7"/>
  <c r="G72" i="7" s="1"/>
  <c r="F71" i="7"/>
  <c r="G71" i="7" s="1"/>
  <c r="F70" i="7"/>
  <c r="G70" i="7" s="1"/>
  <c r="F69" i="7"/>
  <c r="G69" i="7" s="1"/>
  <c r="F68" i="7"/>
  <c r="G68" i="7" s="1"/>
  <c r="F67" i="7"/>
  <c r="G67" i="7" s="1"/>
  <c r="F66" i="7"/>
  <c r="G52" i="7"/>
  <c r="H52" i="7" s="1"/>
  <c r="F49" i="7"/>
  <c r="G49" i="7" s="1"/>
  <c r="H47" i="7"/>
  <c r="H46" i="7"/>
  <c r="H45" i="7"/>
  <c r="H44" i="7"/>
  <c r="H43" i="7"/>
  <c r="H42" i="7"/>
  <c r="G39" i="7"/>
  <c r="E36" i="7"/>
  <c r="F26" i="7"/>
  <c r="G26" i="7" s="1"/>
  <c r="F17" i="7"/>
  <c r="F14" i="7"/>
  <c r="G14" i="7" s="1"/>
  <c r="H64" i="7"/>
  <c r="H61" i="7"/>
  <c r="H9" i="7"/>
  <c r="H35" i="7"/>
  <c r="H31" i="7"/>
  <c r="H12" i="7"/>
  <c r="H11" i="7"/>
  <c r="H10" i="7"/>
  <c r="H8" i="7"/>
  <c r="H7" i="7"/>
  <c r="H5" i="7"/>
  <c r="H6" i="7" s="1"/>
  <c r="E25" i="7"/>
  <c r="E24" i="7"/>
  <c r="E23" i="7"/>
  <c r="E19" i="7"/>
  <c r="AC8" i="4"/>
  <c r="AC9" i="4"/>
  <c r="AC10" i="4"/>
  <c r="AC11" i="4"/>
  <c r="AC12" i="4"/>
  <c r="AC13" i="4"/>
  <c r="AC14" i="4"/>
  <c r="AC15" i="4"/>
  <c r="AC17" i="4"/>
  <c r="AC18" i="4"/>
  <c r="AC20" i="4"/>
  <c r="E30" i="7" l="1"/>
  <c r="E34" i="7"/>
  <c r="H53" i="7"/>
  <c r="H63" i="7" s="1"/>
  <c r="H28" i="7"/>
  <c r="H30" i="7" s="1"/>
  <c r="E37" i="7"/>
  <c r="F37" i="7" s="1"/>
  <c r="H71" i="7"/>
  <c r="H66" i="7"/>
  <c r="H68" i="7"/>
  <c r="H72" i="7"/>
  <c r="H70" i="7"/>
  <c r="H67" i="7"/>
  <c r="G41" i="7"/>
  <c r="H39" i="7"/>
  <c r="H41" i="7" s="1"/>
  <c r="H77" i="7"/>
  <c r="F19" i="7"/>
  <c r="G17" i="7"/>
  <c r="G19" i="7" s="1"/>
  <c r="H14" i="7"/>
  <c r="H16" i="7" s="1"/>
  <c r="F23" i="7"/>
  <c r="G23" i="7" s="1"/>
  <c r="F34" i="7"/>
  <c r="H34" i="7" s="1"/>
  <c r="H69" i="7"/>
  <c r="H26" i="7"/>
  <c r="F24" i="7"/>
  <c r="G24" i="7" s="1"/>
  <c r="F36" i="7"/>
  <c r="H36" i="7" s="1"/>
  <c r="H49" i="7"/>
  <c r="G53" i="7"/>
  <c r="F25" i="7"/>
  <c r="G25" i="7" s="1"/>
  <c r="H23" i="7" l="1"/>
  <c r="H17" i="7"/>
  <c r="H19" i="7" s="1"/>
  <c r="H76" i="7"/>
  <c r="H37" i="7"/>
  <c r="H38" i="7" s="1"/>
  <c r="H25" i="7"/>
  <c r="H24" i="7"/>
  <c r="H50" i="7"/>
  <c r="H80" i="7"/>
  <c r="H83" i="7" s="1"/>
  <c r="D20" i="4"/>
  <c r="E20" i="4" s="1"/>
  <c r="AB19" i="4"/>
  <c r="AC19" i="4" s="1"/>
  <c r="Y19" i="4"/>
  <c r="T19" i="4"/>
  <c r="U19" i="4" s="1"/>
  <c r="P19" i="4"/>
  <c r="Q19" i="4" s="1"/>
  <c r="L19" i="4"/>
  <c r="M19" i="4" s="1"/>
  <c r="H19" i="4"/>
  <c r="I19" i="4" s="1"/>
  <c r="D19" i="4"/>
  <c r="E19" i="4" s="1"/>
  <c r="D18" i="4"/>
  <c r="E18" i="4" s="1"/>
  <c r="D17" i="4"/>
  <c r="E17" i="4" s="1"/>
  <c r="AB16" i="4"/>
  <c r="AC16" i="4" s="1"/>
  <c r="Y16" i="4"/>
  <c r="T16" i="4"/>
  <c r="U16" i="4" s="1"/>
  <c r="P16" i="4"/>
  <c r="Q16" i="4" s="1"/>
  <c r="L16" i="4"/>
  <c r="M16" i="4" s="1"/>
  <c r="H16" i="4"/>
  <c r="I16" i="4" s="1"/>
  <c r="D16" i="4"/>
  <c r="E16" i="4" s="1"/>
  <c r="D15" i="4"/>
  <c r="E15" i="4" s="1"/>
  <c r="D14" i="4"/>
  <c r="E14" i="4" s="1"/>
  <c r="D13" i="4"/>
  <c r="E13" i="4" s="1"/>
  <c r="D12" i="4"/>
  <c r="E12" i="4" s="1"/>
  <c r="D11" i="4"/>
  <c r="E11" i="4" s="1"/>
  <c r="T10" i="4"/>
  <c r="U10" i="4" s="1"/>
  <c r="L10" i="4"/>
  <c r="M10" i="4" s="1"/>
  <c r="H10" i="4"/>
  <c r="I10" i="4" s="1"/>
  <c r="D10" i="4"/>
  <c r="E10" i="4" s="1"/>
  <c r="T9" i="4"/>
  <c r="U9" i="4" s="1"/>
  <c r="P9" i="4"/>
  <c r="Q9" i="4" s="1"/>
  <c r="L9" i="4"/>
  <c r="M9" i="4" s="1"/>
  <c r="H9" i="4"/>
  <c r="I9" i="4" s="1"/>
  <c r="D9" i="4"/>
  <c r="E9" i="4" s="1"/>
  <c r="D8" i="4"/>
  <c r="E8" i="4" s="1"/>
  <c r="AB7" i="4"/>
  <c r="AC7" i="4" s="1"/>
  <c r="Y7" i="4"/>
  <c r="T7" i="4"/>
  <c r="U7" i="4" s="1"/>
  <c r="P7" i="4"/>
  <c r="Q7" i="4" s="1"/>
  <c r="L7" i="4"/>
  <c r="M7" i="4" s="1"/>
  <c r="H7" i="4"/>
  <c r="I7" i="4" s="1"/>
  <c r="D7" i="4"/>
  <c r="E7" i="4" s="1"/>
  <c r="AB6" i="4"/>
  <c r="AC6" i="4" s="1"/>
  <c r="AC21" i="4" s="1"/>
  <c r="Y6" i="4"/>
  <c r="T6" i="4"/>
  <c r="U6" i="4" s="1"/>
  <c r="P6" i="4"/>
  <c r="Q6" i="4" s="1"/>
  <c r="L6" i="4"/>
  <c r="M6" i="4" s="1"/>
  <c r="H6" i="4"/>
  <c r="I6" i="4" s="1"/>
  <c r="D6" i="4"/>
  <c r="E6" i="4" s="1"/>
  <c r="D5" i="4"/>
  <c r="E5" i="4" s="1"/>
  <c r="D4" i="4"/>
  <c r="E4" i="4" s="1"/>
  <c r="D3" i="4"/>
  <c r="E3" i="4" s="1"/>
  <c r="H27" i="7" l="1"/>
  <c r="Y21" i="4"/>
  <c r="Y22" i="4" s="1"/>
  <c r="Y23" i="4" s="1"/>
  <c r="Q21" i="4"/>
  <c r="Q22" i="4" s="1"/>
  <c r="Q23" i="4" s="1"/>
  <c r="M21" i="4"/>
  <c r="M22" i="4" s="1"/>
  <c r="M23" i="4" s="1"/>
  <c r="U21" i="4"/>
  <c r="E21" i="4"/>
  <c r="I21" i="4"/>
  <c r="H78" i="7" l="1"/>
  <c r="Y24" i="4"/>
  <c r="AC22" i="4"/>
  <c r="AC23" i="4" s="1"/>
  <c r="U22" i="4"/>
  <c r="U23" i="4" s="1"/>
  <c r="E22" i="4"/>
  <c r="E23" i="4" s="1"/>
  <c r="Q24" i="4"/>
  <c r="I22" i="4"/>
  <c r="I23" i="4" s="1"/>
  <c r="M24" i="4"/>
  <c r="H81" i="7" l="1"/>
  <c r="H84" i="7" s="1"/>
  <c r="I24" i="4"/>
  <c r="E24" i="4"/>
  <c r="AC24" i="4"/>
  <c r="U24" i="4"/>
  <c r="H86" i="7" l="1"/>
  <c r="Q26" i="4"/>
  <c r="F20" i="6" l="1"/>
  <c r="F8" i="6"/>
  <c r="F11" i="6" s="1"/>
  <c r="H3" i="5"/>
  <c r="I3" i="5" s="1"/>
  <c r="D3" i="5"/>
  <c r="E3" i="5" s="1"/>
  <c r="K5" i="3"/>
  <c r="L5" i="3" s="1"/>
  <c r="M5" i="3" s="1"/>
  <c r="K6" i="3"/>
  <c r="L6" i="3" s="1"/>
  <c r="M6" i="3" s="1"/>
  <c r="K7" i="3"/>
  <c r="O7" i="3" s="1"/>
  <c r="P7" i="3" s="1"/>
  <c r="K8" i="3"/>
  <c r="O8" i="3" s="1"/>
  <c r="Q8" i="3" s="1"/>
  <c r="K9" i="3"/>
  <c r="L9" i="3" s="1"/>
  <c r="M9" i="3" s="1"/>
  <c r="K10" i="3"/>
  <c r="O10" i="3" s="1"/>
  <c r="K11" i="3"/>
  <c r="O11" i="3" s="1"/>
  <c r="K12" i="3"/>
  <c r="O12" i="3" s="1"/>
  <c r="K13" i="3"/>
  <c r="O13" i="3" s="1"/>
  <c r="K14" i="3"/>
  <c r="O14" i="3" s="1"/>
  <c r="K15" i="3"/>
  <c r="O15" i="3" s="1"/>
  <c r="Q15" i="3" s="1"/>
  <c r="K16" i="3"/>
  <c r="L16" i="3" s="1"/>
  <c r="M16" i="3" s="1"/>
  <c r="K17" i="3"/>
  <c r="L17" i="3" s="1"/>
  <c r="M17" i="3" s="1"/>
  <c r="K18" i="3"/>
  <c r="L18" i="3" s="1"/>
  <c r="M18" i="3" s="1"/>
  <c r="K19" i="3"/>
  <c r="O19" i="3" s="1"/>
  <c r="K20" i="3"/>
  <c r="L20" i="3" s="1"/>
  <c r="M20" i="3" s="1"/>
  <c r="K21" i="3"/>
  <c r="O21" i="3" s="1"/>
  <c r="K22" i="3"/>
  <c r="L22" i="3" s="1"/>
  <c r="M22" i="3" s="1"/>
  <c r="K23" i="3"/>
  <c r="O23" i="3" s="1"/>
  <c r="K24" i="3"/>
  <c r="L24" i="3" s="1"/>
  <c r="M24" i="3" s="1"/>
  <c r="K25" i="3"/>
  <c r="O25" i="3" s="1"/>
  <c r="K26" i="3"/>
  <c r="O26" i="3" s="1"/>
  <c r="K27" i="3"/>
  <c r="O27" i="3" s="1"/>
  <c r="K28" i="3"/>
  <c r="L28" i="3" s="1"/>
  <c r="M28" i="3" s="1"/>
  <c r="K29" i="3"/>
  <c r="L29" i="3" s="1"/>
  <c r="M29" i="3" s="1"/>
  <c r="K30" i="3"/>
  <c r="O30" i="3" s="1"/>
  <c r="K31" i="3"/>
  <c r="O31" i="3" s="1"/>
  <c r="K32" i="3"/>
  <c r="L32" i="3" s="1"/>
  <c r="M32" i="3" s="1"/>
  <c r="K33" i="3"/>
  <c r="L33" i="3" s="1"/>
  <c r="M33" i="3" s="1"/>
  <c r="K34" i="3"/>
  <c r="L34" i="3" s="1"/>
  <c r="M34" i="3" s="1"/>
  <c r="K35" i="3"/>
  <c r="O35" i="3" s="1"/>
  <c r="K36" i="3"/>
  <c r="L36" i="3" s="1"/>
  <c r="M36" i="3" s="1"/>
  <c r="K37" i="3"/>
  <c r="O37" i="3" s="1"/>
  <c r="K38" i="3"/>
  <c r="L38" i="3" s="1"/>
  <c r="M38" i="3" s="1"/>
  <c r="K39" i="3"/>
  <c r="O39" i="3" s="1"/>
  <c r="P39" i="3" s="1"/>
  <c r="K40" i="3"/>
  <c r="L40" i="3" s="1"/>
  <c r="M40" i="3" s="1"/>
  <c r="K41" i="3"/>
  <c r="O41" i="3" s="1"/>
  <c r="K42" i="3"/>
  <c r="O42" i="3" s="1"/>
  <c r="K43" i="3"/>
  <c r="O43" i="3" s="1"/>
  <c r="P43" i="3" s="1"/>
  <c r="K4" i="3"/>
  <c r="L4" i="3" s="1"/>
  <c r="M4" i="3" s="1"/>
  <c r="M8" i="3"/>
  <c r="L11" i="3"/>
  <c r="M11" i="3" s="1"/>
  <c r="L23" i="3"/>
  <c r="M23" i="3" s="1"/>
  <c r="L26" i="3"/>
  <c r="M26" i="3" s="1"/>
  <c r="L35" i="3"/>
  <c r="M35" i="3" s="1"/>
  <c r="L3" i="5" l="1"/>
  <c r="M3" i="5" s="1"/>
  <c r="J5" i="5" s="1"/>
  <c r="L39" i="3"/>
  <c r="M39" i="3" s="1"/>
  <c r="L31" i="3"/>
  <c r="M31" i="3" s="1"/>
  <c r="L27" i="3"/>
  <c r="M27" i="3" s="1"/>
  <c r="M15" i="3"/>
  <c r="L14" i="3"/>
  <c r="M14" i="3" s="1"/>
  <c r="L12" i="3"/>
  <c r="M12" i="3" s="1"/>
  <c r="L7" i="3"/>
  <c r="M7" i="3" s="1"/>
  <c r="L42" i="3"/>
  <c r="M42" i="3" s="1"/>
  <c r="L30" i="3"/>
  <c r="M30" i="3" s="1"/>
  <c r="L19" i="3"/>
  <c r="M19" i="3" s="1"/>
  <c r="L10" i="3"/>
  <c r="M10" i="3" s="1"/>
  <c r="L43" i="3"/>
  <c r="M43" i="3" s="1"/>
  <c r="L41" i="3"/>
  <c r="M41" i="3" s="1"/>
  <c r="O22" i="3"/>
  <c r="P22" i="3" s="1"/>
  <c r="Q22" i="3" s="1"/>
  <c r="Q43" i="3"/>
  <c r="O38" i="3"/>
  <c r="P38" i="3" s="1"/>
  <c r="Q38" i="3" s="1"/>
  <c r="O6" i="3"/>
  <c r="P6" i="3" s="1"/>
  <c r="Q6" i="3" s="1"/>
  <c r="L25" i="3"/>
  <c r="M25" i="3" s="1"/>
  <c r="P42" i="3"/>
  <c r="Q42" i="3" s="1"/>
  <c r="P26" i="3"/>
  <c r="Q26" i="3" s="1"/>
  <c r="P10" i="3"/>
  <c r="Q10" i="3" s="1"/>
  <c r="P41" i="3"/>
  <c r="Q41" i="3" s="1"/>
  <c r="P37" i="3"/>
  <c r="Q37" i="3" s="1"/>
  <c r="P25" i="3"/>
  <c r="Q25" i="3" s="1"/>
  <c r="P21" i="3"/>
  <c r="Q21" i="3" s="1"/>
  <c r="P13" i="3"/>
  <c r="Q13" i="3" s="1"/>
  <c r="O33" i="3"/>
  <c r="O17" i="3"/>
  <c r="O9" i="3"/>
  <c r="L13" i="3"/>
  <c r="M13" i="3" s="1"/>
  <c r="P14" i="3"/>
  <c r="Q14" i="3" s="1"/>
  <c r="P30" i="3"/>
  <c r="Q30" i="3" s="1"/>
  <c r="L37" i="3"/>
  <c r="M37" i="3" s="1"/>
  <c r="L21" i="3"/>
  <c r="M21" i="3" s="1"/>
  <c r="P35" i="3"/>
  <c r="Q35" i="3" s="1"/>
  <c r="P31" i="3"/>
  <c r="Q31" i="3"/>
  <c r="P27" i="3"/>
  <c r="Q27" i="3" s="1"/>
  <c r="P23" i="3"/>
  <c r="Q23" i="3" s="1"/>
  <c r="P19" i="3"/>
  <c r="Q19" i="3" s="1"/>
  <c r="P11" i="3"/>
  <c r="Q11" i="3" s="1"/>
  <c r="Q7" i="3"/>
  <c r="O29" i="3"/>
  <c r="O5" i="3"/>
  <c r="P12" i="3"/>
  <c r="Q12" i="3" s="1"/>
  <c r="Q39" i="3"/>
  <c r="O34" i="3"/>
  <c r="O18" i="3"/>
  <c r="O4" i="3"/>
  <c r="O40" i="3"/>
  <c r="O36" i="3"/>
  <c r="O32" i="3"/>
  <c r="O28" i="3"/>
  <c r="O24" i="3"/>
  <c r="O20" i="3"/>
  <c r="O16" i="3"/>
  <c r="M44" i="3" l="1"/>
  <c r="P24" i="3"/>
  <c r="Q24" i="3" s="1"/>
  <c r="P40" i="3"/>
  <c r="Q40" i="3" s="1"/>
  <c r="P17" i="3"/>
  <c r="Q17" i="3" s="1"/>
  <c r="P28" i="3"/>
  <c r="Q28" i="3" s="1"/>
  <c r="P4" i="3"/>
  <c r="Q4" i="3" s="1"/>
  <c r="P33" i="3"/>
  <c r="Q33" i="3" s="1"/>
  <c r="P16" i="3"/>
  <c r="Q16" i="3" s="1"/>
  <c r="P32" i="3"/>
  <c r="Q32" i="3" s="1"/>
  <c r="P18" i="3"/>
  <c r="Q18" i="3" s="1"/>
  <c r="P5" i="3"/>
  <c r="Q5" i="3" s="1"/>
  <c r="P20" i="3"/>
  <c r="Q20" i="3" s="1"/>
  <c r="P36" i="3"/>
  <c r="Q36" i="3" s="1"/>
  <c r="P34" i="3"/>
  <c r="Q34" i="3" s="1"/>
  <c r="P29" i="3"/>
  <c r="Q29" i="3" s="1"/>
  <c r="P9" i="3"/>
  <c r="Q9" i="3" s="1"/>
  <c r="H43" i="3"/>
  <c r="I43" i="3" s="1"/>
  <c r="H42" i="3"/>
  <c r="I42" i="3" s="1"/>
  <c r="H41" i="3"/>
  <c r="I41" i="3" s="1"/>
  <c r="H40" i="3"/>
  <c r="I40" i="3" s="1"/>
  <c r="H39" i="3"/>
  <c r="I39" i="3" s="1"/>
  <c r="H38" i="3"/>
  <c r="I38"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I15" i="3"/>
  <c r="H14" i="3"/>
  <c r="I14" i="3" s="1"/>
  <c r="H13" i="3"/>
  <c r="I13" i="3" s="1"/>
  <c r="H12" i="3"/>
  <c r="I12" i="3" s="1"/>
  <c r="H11" i="3"/>
  <c r="I11" i="3" s="1"/>
  <c r="H10" i="3"/>
  <c r="I10" i="3" s="1"/>
  <c r="H9" i="3"/>
  <c r="I9" i="3" s="1"/>
  <c r="I8" i="3"/>
  <c r="H7" i="3"/>
  <c r="I7" i="3" s="1"/>
  <c r="H6" i="3"/>
  <c r="I6" i="3" s="1"/>
  <c r="H5" i="3"/>
  <c r="I5" i="3" s="1"/>
  <c r="H4" i="3"/>
  <c r="I4" i="3" s="1"/>
  <c r="C6" i="2"/>
  <c r="Q44" i="3" l="1"/>
  <c r="I44" i="3"/>
  <c r="K46" i="3" l="1"/>
</calcChain>
</file>

<file path=xl/sharedStrings.xml><?xml version="1.0" encoding="utf-8"?>
<sst xmlns="http://schemas.openxmlformats.org/spreadsheetml/2006/main" count="503" uniqueCount="256">
  <si>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</si>
  <si>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</si>
  <si>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</si>
  <si>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</si>
  <si>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</si>
  <si>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</si>
  <si>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</si>
  <si>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</si>
  <si>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</si>
  <si>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</si>
  <si>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</si>
  <si>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</si>
  <si>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</si>
  <si>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</si>
  <si>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</si>
  <si>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</si>
  <si>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</si>
  <si>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</si>
  <si>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</si>
  <si>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</si>
  <si>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</si>
  <si>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</si>
  <si>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</si>
  <si>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</si>
  <si>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</si>
  <si>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</si>
  <si>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</si>
  <si>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</si>
  <si>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</si>
  <si>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</si>
  <si>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</si>
  <si>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</si>
  <si>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</si>
  <si>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</si>
  <si>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</si>
  <si>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</si>
  <si>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</si>
  <si>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</si>
  <si>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</si>
  <si>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</si>
  <si>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</si>
  <si>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</si>
  <si>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</si>
  <si>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</si>
  <si>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</si>
  <si>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</si>
  <si>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</si>
  <si>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</si>
  <si>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</si>
  <si>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</si>
  <si>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</si>
  <si>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</si>
  <si>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</si>
  <si>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</si>
  <si>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</si>
  <si>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</si>
  <si>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</si>
  <si>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</si>
  <si>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</si>
  <si>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</si>
  <si>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</si>
  <si>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</si>
  <si>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</si>
  <si>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</si>
  <si>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</si>
  <si>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</si>
  <si>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</si>
  <si>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</si>
  <si>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</si>
  <si>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</si>
  <si>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</si>
  <si>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</si>
  <si>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</si>
  <si>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</si>
  <si>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</si>
  <si>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</si>
  <si>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</si>
  <si>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</si>
  <si>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</si>
  <si>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</si>
  <si>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</si>
  <si>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</si>
  <si>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</si>
  <si>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</si>
  <si>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</si>
  <si>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</si>
  <si>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</si>
  <si>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</si>
  <si>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</si>
  <si>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</si>
  <si>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</si>
  <si>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</si>
  <si>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</si>
  <si>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</si>
  <si>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</si>
  <si>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</si>
  <si>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</si>
  <si>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</si>
  <si>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</si>
  <si>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</si>
  <si>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</si>
  <si>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</si>
  <si>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</si>
  <si>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</si>
  <si>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</si>
  <si>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</si>
  <si>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</si>
  <si>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</si>
  <si>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</si>
  <si>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</si>
  <si>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</si>
  <si>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</si>
  <si>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</si>
  <si>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</si>
  <si>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</si>
  <si>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</si>
  <si>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</si>
  <si>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</si>
  <si>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</si>
  <si>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</si>
  <si>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</si>
  <si>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</si>
  <si>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</si>
  <si>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</si>
  <si>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</si>
  <si>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</si>
  <si>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</si>
  <si>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</si>
  <si>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</si>
  <si>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</si>
  <si>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</si>
  <si>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</si>
  <si>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</si>
  <si>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</si>
  <si>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</si>
  <si>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</si>
  <si>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</si>
  <si>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</si>
  <si>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</si>
  <si>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</si>
  <si>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</si>
  <si>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</si>
  <si>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</si>
  <si>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</si>
  <si>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</si>
  <si>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</si>
  <si>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</si>
  <si>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</si>
  <si>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</si>
  <si>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</si>
  <si>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</si>
  <si>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</si>
  <si>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</si>
  <si>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</si>
  <si>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</si>
  <si>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</si>
  <si>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</si>
  <si>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</si>
  <si>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</si>
  <si>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</si>
  <si>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</si>
  <si>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</si>
  <si>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</si>
  <si>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</si>
  <si>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</si>
  <si>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</si>
  <si>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</si>
  <si>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</si>
  <si>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</si>
  <si>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</si>
  <si>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</si>
  <si>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</si>
  <si>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</si>
  <si>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</si>
  <si>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</si>
  <si>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</si>
  <si>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</si>
  <si>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</si>
  <si>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</si>
  <si>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</si>
  <si>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</si>
  <si>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</si>
  <si>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</si>
  <si>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</si>
  <si>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</si>
  <si>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</si>
  <si>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</si>
  <si>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</si>
  <si>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</si>
  <si>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</si>
  <si>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</si>
  <si>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</si>
  <si>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</si>
  <si>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</si>
  <si>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</si>
  <si>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</si>
  <si>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</si>
  <si>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Artículo 22 de la Ley 47 de 1993</t>
  </si>
  <si>
    <t xml:space="preserve">b) Las ventas con destino al territorio del Departamento Archipiélago de bienes producidos o importados en el resto del territorio nacional, lo cual se acreditará con el respectivo conocimiento del embarque o guía aérea; 
prestación de servicios destinados o realizados en el territorio del Departamento del Archipiélago. </t>
  </si>
  <si>
    <t>Artículo 270 de la Ley 223 de 1995</t>
  </si>
  <si>
    <t>a) La venta de bienes realizada dentro del territorio del Departamento del Amazonas
b) La prestación de servicios realizados en el territorio del Departamento del Amazonas.</t>
  </si>
  <si>
    <t>Archipiélago de San Andrés</t>
  </si>
  <si>
    <t>VALOR 01 MAYO AL 31 DE DICIEMBRE DE 2015 *</t>
  </si>
  <si>
    <t>Archiélago de San Andrés</t>
  </si>
  <si>
    <t xml:space="preserve">NOTA 2 DEL EVALUADOR: </t>
  </si>
  <si>
    <t>VALOR TOTAL ERRORES ARITMÉTICOS EN LA DETERMINACIÓN DEL VALOR TOTAL DE LA PROPUESTA ECONÓMICA</t>
  </si>
  <si>
    <t xml:space="preserve">NOTA 1 DEL EVALUADOR. Uno por ciento (1%) del valor total de la Oferta Económica: </t>
  </si>
  <si>
    <t xml:space="preserve">Valor del error aritmético en la determinación del valor del recurso humano, por una suma igual a: </t>
  </si>
  <si>
    <t xml:space="preserve">Valor del error aritmético en la determinación del valor de los insumos de aseo y cafetería, por una suma igual a: </t>
  </si>
  <si>
    <t xml:space="preserve">Valor del error aritmético en la determinación del valor del servicio de fumigación, por una suma igual a: </t>
  </si>
  <si>
    <t xml:space="preserve">Valor del error aritmético en la determinación del valor del servicio de lavado de vidrios de fachada, por una suma igual a: </t>
  </si>
  <si>
    <t xml:space="preserve">Valor del error aritmético en la determinación del valor del alquiler de equipos y elementos mínimo, por una suma igual a: </t>
  </si>
  <si>
    <t>AIU 
14 %</t>
  </si>
  <si>
    <t xml:space="preserve">MIL QUINIENTOSSETENTA Y DOS MILLONES CUARENTA Y NUEVE MIL SETECIENTOS NOVENTA Y CINCO PESOS MCTE: </t>
  </si>
  <si>
    <t xml:space="preserve">VALOR TOTAL PROPUESTA ECONÓMICA SEGÚN EL PROPONENTE </t>
  </si>
  <si>
    <t>Oservaciones</t>
  </si>
  <si>
    <t>El proponente ofertó la suma de $21.329, mientras que lo liquidado por el ICETEX es la suma de $340.134, existiendo una diferencia de $318.805.</t>
  </si>
  <si>
    <t>El proponente ofertó la suma de $1.101.928, mientras que lo liquidado por el ICETEX es la suma de $14.922.123, existiendo una diferencia de $13.820.195.</t>
  </si>
  <si>
    <t>El proponente ofertó la suma de $14.028.217, mientras que lo liquidado por el ICETEX es la suma de $479.233.381 existiendo una diferencia de $465.205.164.</t>
  </si>
  <si>
    <t>El proponente ofertó la suma de $$296.327.898, mientras que lo liquidado por el ICETEX es la suma de $305.263.635, existiendo una diferencia de $8.935.737.</t>
  </si>
  <si>
    <t>El proponente ofertó la suma de $$1.783.961, mientras que lo liquidado por el ICETEX es la suma de $1.799.000, existiendo una diferencia de $15.039.</t>
  </si>
  <si>
    <t>El proponente ofertó la suma de $101.898, mientras que lo liquidado por el ICETEX es la suma de $108.992, existiendo una diferencia de $7,094.</t>
  </si>
  <si>
    <t>El proponente ofertó la suma de $13.084, mientras que lo liquidado por el ICETEX es la suma de $12.233, existiendo una diferencia de $851.</t>
  </si>
  <si>
    <t>El proponente ofertó la suma de $465.205.164 mientras que lo liquidado por el ICETEX es la suma de $479.233.381 existiendo una diferencia de $14.028.217.</t>
  </si>
  <si>
    <t>El proponente ofertó la suma de $162.294.575 mientras que lo liquidado por el ICETEX es la suma de $167.188.552 existiendo una diferencia de $4.8934977.</t>
  </si>
  <si>
    <t>El proponente ofertó la suma de $6.054.192 mientras que lo liquidado por el ICETEX es la suma de $6.054.360 existiendo una diferencia de $168.</t>
  </si>
  <si>
    <t>El proponente ofertó la suma de $1.044.196.542 mientras que lo liquidado por el ICETEX es la suma de $1.072.196.542  existiendo una diferencia de $27.858.100.</t>
  </si>
  <si>
    <r>
      <t xml:space="preserve">NOTA 1 DEL EVALUADOR: </t>
    </r>
    <r>
      <rPr>
        <sz val="10"/>
        <color theme="1"/>
        <rFont val="Arial Narrow"/>
        <family val="2"/>
      </rPr>
      <t xml:space="preserve">El proponente dentro del Anexo No. 17 tuvo en cuenta las disposiciones relacionadas con la exclusión del IVA en los municipios de San Andrés Islas y Leticia. </t>
    </r>
  </si>
  <si>
    <r>
      <t xml:space="preserve">NOTA 2 DEL EVALUADOR: </t>
    </r>
    <r>
      <rPr>
        <sz val="10"/>
        <color theme="1"/>
        <rFont val="Arial Narrow"/>
        <family val="2"/>
      </rPr>
      <t xml:space="preserve">Una vez verificada la oferta económica, se evidenció que el proponente para los cálculos de los precios unitarios entre las vigencias realizó el incrementó del 3,66% autorizado por la Entidad en el numeral 5.9.4.1 Propuesta Económica de la adenda No. 03.  </t>
    </r>
  </si>
  <si>
    <r>
      <t xml:space="preserve">NOTA 2 DEL EVALUADOR: </t>
    </r>
    <r>
      <rPr>
        <sz val="9"/>
        <rFont val="Arial Narrow"/>
        <family val="2"/>
      </rPr>
      <t xml:space="preserve">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por tal razón en las ciudades de San Andres el IVA no se presentó, pero para la ciudad de Amazonas no tuvo en cuenta esta exclusiòn. Por lo tanto incurre en causal de rechazo dado que se trata de la prestaciòn de un servicio. </t>
    </r>
  </si>
  <si>
    <r>
      <t xml:space="preserve">NOTA 3 DEL EVALUADOR:  </t>
    </r>
    <r>
      <rPr>
        <sz val="9"/>
        <color theme="1"/>
        <rFont val="Arial Narrow"/>
        <family val="2"/>
      </rPr>
      <t xml:space="preserve">Se deja constancia que la Entidad al momento de validar la propuesta empleó para la formulación de las celdas dos decimales. </t>
    </r>
  </si>
  <si>
    <r>
      <t xml:space="preserve">NOTA 2 DEL EVALUADOR: </t>
    </r>
    <r>
      <rPr>
        <sz val="9"/>
        <color theme="1"/>
        <rFont val="Arial Narrow"/>
        <family val="2"/>
      </rPr>
      <t xml:space="preserve">Se deja constancia que la Entidad al momento de validar la propuesta empleó para la formulación de las celdas dos decimales. </t>
    </r>
  </si>
  <si>
    <r>
      <t xml:space="preserve">NOTA 3 DEL EVALUADOR: </t>
    </r>
    <r>
      <rPr>
        <sz val="9"/>
        <color theme="1"/>
        <rFont val="Arial Narrow"/>
        <family val="2"/>
      </rPr>
      <t xml:space="preserve">Teniendo en cuenta que el valor total de los errores aritméticos SI superan el 1%  del valor total de la oferta económica, la propuesta SI será rechazada por esta causal en particular. </t>
    </r>
  </si>
  <si>
    <r>
      <t xml:space="preserve">NOTA 1 DEL EVALUADOR: </t>
    </r>
    <r>
      <rPr>
        <sz val="9"/>
        <color theme="1"/>
        <rFont val="Arial Narrow"/>
        <family val="2"/>
      </rPr>
      <t>El proponente dentro del Anexo No. 17 tuvo en cuenta las disposiciones relacionadas con la exclusión del IVA en el municipio de San Andrés Islas. De acuerdo con la oferta económica en lo relativo al suministro de insumos de aseo y cafetería en el municipio de Leticia, el proponente no aplica IVA, lo cual se acepta bajo el entendido de que el proponente realizaría la compra de dichos insumos dentro del Departamento del Amazonas.  
El proponente en el apartado pertinente relaciona como disposición legal para la exclusión del IVA el artículo 22 de la  Ley 47 de 1993 y el artículo 270 de la Ley 223 de 1995.</t>
    </r>
    <r>
      <rPr>
        <b/>
        <sz val="9"/>
        <color theme="1"/>
        <rFont val="Arial Narrow"/>
        <family val="2"/>
      </rPr>
      <t xml:space="preserve">
</t>
    </r>
    <r>
      <rPr>
        <sz val="10"/>
        <color theme="1"/>
        <rFont val="Arial Narrow"/>
        <family val="2"/>
      </rPr>
      <t/>
    </r>
  </si>
  <si>
    <r>
      <t xml:space="preserve">NOTA 2 DEL EVALUADOR: </t>
    </r>
    <r>
      <rPr>
        <sz val="9"/>
        <color theme="1"/>
        <rFont val="Arial Narrow"/>
        <family val="2"/>
      </rPr>
      <t xml:space="preserve">Una vez verificada una muestra de la oferta económica, se evidenció que el proponente para los cálculos de los precios unitarios de los insumos de aseo y cafetería entre las vigencias realizó el incrementó del 3,66% autorizado por la Entidad en el literal d) del subnumeral (vii) del numeral 5.9.4.1 Propuesta Económica de la adenda No. 03., se realizó con muestra elatoria y con el precio unitario bruto   </t>
    </r>
  </si>
  <si>
    <r>
      <t xml:space="preserve">NOTA 3 DEL EVALUADOR: </t>
    </r>
    <r>
      <rPr>
        <sz val="9"/>
        <color theme="1"/>
        <rFont val="Arial Narrow"/>
        <family val="2"/>
      </rPr>
      <t xml:space="preserve">Se deja constancia que la Entidad al momento de validar la propuesta empleó para la formulación de las celdas dos decimales. </t>
    </r>
  </si>
  <si>
    <r>
      <t>A.</t>
    </r>
    <r>
      <rPr>
        <sz val="9"/>
        <color rgb="FF000000"/>
        <rFont val="Arial Narrow"/>
        <family val="2"/>
      </rPr>
      <t xml:space="preserve"> Básico</t>
    </r>
  </si>
  <si>
    <r>
      <t>B.</t>
    </r>
    <r>
      <rPr>
        <sz val="9"/>
        <color rgb="FF000000"/>
        <rFont val="Arial Narrow"/>
        <family val="2"/>
      </rPr>
      <t xml:space="preserve"> Subsidio Transporte</t>
    </r>
  </si>
  <si>
    <r>
      <t xml:space="preserve">C. </t>
    </r>
    <r>
      <rPr>
        <sz val="9"/>
        <color rgb="FF000000"/>
        <rFont val="Arial Narrow"/>
        <family val="2"/>
      </rPr>
      <t>Pensión</t>
    </r>
  </si>
  <si>
    <r>
      <t>D.</t>
    </r>
    <r>
      <rPr>
        <sz val="9"/>
        <color rgb="FF000000"/>
        <rFont val="Arial Narrow"/>
        <family val="2"/>
      </rPr>
      <t xml:space="preserve"> ARL</t>
    </r>
  </si>
  <si>
    <r>
      <t>E.</t>
    </r>
    <r>
      <rPr>
        <sz val="9"/>
        <color rgb="FF000000"/>
        <rFont val="Arial Narrow"/>
        <family val="2"/>
      </rPr>
      <t xml:space="preserve"> Cajas de Compensación</t>
    </r>
  </si>
  <si>
    <r>
      <t>F.</t>
    </r>
    <r>
      <rPr>
        <sz val="9"/>
        <color rgb="FF000000"/>
        <rFont val="Arial Narrow"/>
        <family val="2"/>
      </rPr>
      <t xml:space="preserve"> Cesantías</t>
    </r>
  </si>
  <si>
    <r>
      <t>G.</t>
    </r>
    <r>
      <rPr>
        <sz val="9"/>
        <color rgb="FF000000"/>
        <rFont val="Arial Narrow"/>
        <family val="2"/>
      </rPr>
      <t xml:space="preserve"> Intereses</t>
    </r>
  </si>
  <si>
    <r>
      <t xml:space="preserve">H. </t>
    </r>
    <r>
      <rPr>
        <sz val="9"/>
        <color rgb="FF000000"/>
        <rFont val="Arial Narrow"/>
        <family val="2"/>
      </rPr>
      <t>Prima de servicios</t>
    </r>
  </si>
  <si>
    <r>
      <t xml:space="preserve">I. </t>
    </r>
    <r>
      <rPr>
        <sz val="9"/>
        <color rgb="FF000000"/>
        <rFont val="Arial Narrow"/>
        <family val="2"/>
      </rPr>
      <t>Vacaciones</t>
    </r>
  </si>
  <si>
    <r>
      <t xml:space="preserve">Operaria Aseo medio Tiempo Punto de Atención San Andrés 
</t>
    </r>
    <r>
      <rPr>
        <sz val="9"/>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</si>
  <si>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r>
      <rPr>
        <b/>
        <sz val="9"/>
        <color theme="1"/>
        <rFont val="Arial Narrow"/>
        <family val="2"/>
      </rPr>
      <t xml:space="preserve">NOTA 2 DEL EVALUADOR: </t>
    </r>
    <r>
      <rPr>
        <sz val="9"/>
        <color theme="1"/>
        <rFont val="Arial Narrow"/>
        <family val="2"/>
      </rPr>
      <t xml:space="preserve">Se deja constancia que la Entidad al momento de validar la propuesta empleó para la formulación de las celdas dos decimales. </t>
    </r>
  </si>
  <si>
    <r>
      <rPr>
        <b/>
        <sz val="9"/>
        <color theme="1"/>
        <rFont val="Arial Narrow"/>
        <family val="2"/>
      </rPr>
      <t xml:space="preserve">NOTA 4 DEL EVALUADOR: </t>
    </r>
    <r>
      <rPr>
        <sz val="9"/>
        <color theme="1"/>
        <rFont val="Arial Narrow"/>
        <family val="2"/>
      </rPr>
      <t xml:space="preserve">El ICETEX tomando como base los valores ofertados por el proponente para los Equipos y Elementos Mínimos; No obstante, en el campo de "Archipiélago San Andrés Islas" se incluyeron las cantidades de equipos y elementos mínimos del punto de atención de Leticia, para poder liquidar correctamente el servicio de alquiler a prestar en San Andrés y Leticia, sin IVA.  </t>
    </r>
  </si>
  <si>
    <r>
      <rPr>
        <b/>
        <sz val="9"/>
        <color theme="1"/>
        <rFont val="Arial Narrow"/>
        <family val="2"/>
      </rPr>
      <t>NOTA 3 DEL EVALUADOR:</t>
    </r>
    <r>
      <rPr>
        <sz val="9"/>
        <color theme="1"/>
        <rFont val="Arial Narrow"/>
        <family val="2"/>
      </rPr>
      <t xml:space="preserve"> El proponente tuvo en cuenta las disposiciones que sobre exclusión del régimen del IVA aplica para los servicios a prestar dentro del Departamento de Amazons y Archipiélago de San Andrés; es decir que, no incluyó IVA dentro de lo ofertado. </t>
    </r>
  </si>
  <si>
    <r>
      <t xml:space="preserve">NOTA 3 DEL EVALUADOR: </t>
    </r>
    <r>
      <rPr>
        <sz val="10"/>
        <color theme="1"/>
        <rFont val="Arial Narrow"/>
        <family val="2"/>
      </rPr>
      <t xml:space="preserve">De conformidad con la nota relacionada con la aproximación de decimales, y la verificación de la propuesta económica, se evidencia que el proponente ofertó la suma de $27,853,933, existiendo una diferencia entre lo ofertado y lo validado por la Entidad de TRES PESOS MCTE ($3,00). Igualmente se deja constancia que la Entidad al momento de validar la propuesta empleó para la formulación de las celdas dos decimales. </t>
    </r>
  </si>
  <si>
    <r>
      <rPr>
        <b/>
        <sz val="9"/>
        <color theme="1"/>
        <rFont val="Arial Narrow"/>
        <family val="2"/>
      </rPr>
      <t>NOTA 4 DEL EVALUADOR:</t>
    </r>
    <r>
      <rPr>
        <sz val="9"/>
        <color theme="1"/>
        <rFont val="Arial Narrow"/>
        <family val="2"/>
      </rPr>
      <t xml:space="preserve"> El ICETEX tomó los valores unitarios brutos del servicio de fumigación ofertado por el proponente y realizó la liquidación, que consta en esta evalaución, con base en dichos valores. </t>
    </r>
  </si>
  <si>
    <r>
      <t xml:space="preserve">NOTA 1 DEL EVALUADOR: </t>
    </r>
    <r>
      <rPr>
        <sz val="9"/>
        <color theme="1"/>
        <rFont val="Arial Narrow"/>
        <family val="2"/>
      </rPr>
      <t xml:space="preserve">El ICETEX tomó como base los valores unitarios brutos ofertados por el proponente para el servicio de alquiler de Equipos y Elementos Mínimos, y teniendo en cuenta dichos valores, realizó la liquidación, que consta en esta evalaución. </t>
    </r>
    <r>
      <rPr>
        <b/>
        <sz val="9"/>
        <color theme="1"/>
        <rFont val="Arial Narrow"/>
        <family val="2"/>
      </rPr>
      <t xml:space="preserve">
</t>
    </r>
    <r>
      <rPr>
        <sz val="9"/>
        <color theme="1"/>
        <rFont val="Arial Narrow"/>
        <family val="2"/>
      </rPr>
      <t xml:space="preserve">Una vez verificada la oferta económica, se evidenció que el proponente para los cálculos de los precios unitarios entre las vigencias realizó el incrementó del 3,66% autorizado por la Entidad en el numeral 5.9.4.1 Propuesta Económica de la adenda No. 03.  </t>
    </r>
  </si>
  <si>
    <t>ARCHIPIÉLAGO DE SAN ANDRÉS ISLAS, LETICIA</t>
  </si>
  <si>
    <t>OTRAS CIUDADES (Arauca, Cartagena, Tunja, Manizales, Popayán, Valledupar, Quibdó, Montería, Neiva, Santa Marta, Villavicencio, Pasto, Cúcuta, Armenia, Pereira, San Gil, Sincelejo, Ibague, Riohacha, Yopal, Barrancabermeja, Mocoa)</t>
  </si>
  <si>
    <r>
      <rPr>
        <b/>
        <sz val="9"/>
        <rFont val="Arial Narrow"/>
        <family val="2"/>
      </rPr>
      <t>NOTA 1 DEL EVALUADOR:</t>
    </r>
    <r>
      <rPr>
        <sz val="9"/>
        <rFont val="Arial Narrow"/>
        <family val="2"/>
      </rPr>
      <t xml:space="preserve"> El ICETEX tomó como base los valores unitarios brutos ofertados por el proponente para el servicio de alquiler de Equipos y Elementos Mínimos, y teniendo en cuenta dichos valores, realizó la liquidación, que consta en esta evalaución,encontrando diferencias en la liquidaciòn de los valores correspondientes a las otras ciudades en cuanto a que NO SE MULTIPLICÓ EL VALOR UNITARIO POR EL NÚMERO DE CIUDADES QUE REQUIEREN EL SUMINISTRO DE EQUIPOS Y ELEMENTOS, el cual es de 22; Adicionalmente no se tuvo en cuenta la exclusiòn del impuesto del IVA, para la ciudad de Leticia en la cual el ICETEX tiene un punto de atenciòn, lo cual hace que para efectos del valor total de la propuesta económica se presenta que el valor total ofertado por el Proponente de $79,030,600, frente al total liquidado por el ICETEX $508,103,643,74, encontrándose una diferencia de $429,073,043,74. En consecuencia y teniendo en cuenta que el pliego de condiciones en el subnumeral (iii) del numeral 5.9.4.1- Propuesta Económica estableció: "El Proponente debe indicar en el Anexo – 10 Propuesta Económica, los valores ofrecidos. En caso de presentarse errores aritméticos en la determinación del valor total de la propuesta económica que superen el 1% del valor de la propuesta, ésta será rechazada". (...)", SE RECHAZA LA PROPUESTA.</t>
    </r>
  </si>
  <si>
    <r>
      <rPr>
        <b/>
        <sz val="9"/>
        <rFont val="Arial Narrow"/>
        <family val="2"/>
      </rPr>
      <t>NOTA 1 DEL EVALUADOR</t>
    </r>
    <r>
      <rPr>
        <sz val="9"/>
        <rFont val="Arial Narrow"/>
        <family val="2"/>
      </rPr>
      <t xml:space="preserve">: De conformidad con el pliego de condiciones y sus adendas, se deja constancia que lo contenido en esta evaluación es el deber ser de la oferta económica, tomando como criterio el salario básico ofertado por el proponente.  A partir de este ejercicio, el ICETEX procedió a comparar la oferta económica del proponente en lo pertinente al recurso humano propuesto; encontrando diferencias en la liquidaciòn de los valores correspondientes a operarias de aseo de medio tiempo en cuanto a la prima de servicios y vacaciones;  por lo tanto, el valor del subtotal se ve alterado e impacta el valor total de la propuesta económica, así valor total ofertado por el Proponente $1,044,338,442,00 frente al valor liquidado por el ICETEX, $1,072,196,542,00, encontrándose una diferencia de $27,858,100,00, lo cual teniendo en cuenta que la adenda No. 03 del pliego de condiciones en el subnumeral (iii) del numeral 5.9.4.1- Propuesta Económica estableció: "El Proponente debe indicar en el Anexo – 10 Propuesta Económica, los valores ofrecidos. En caso de presentarse errores aritméticos en la determinación del valor total de la propuesta económica que superen el 1% del valor de la propuesta, ésta será rechazada". (...)"., SE RECHAZA LA PROPUESTA.
El proponente en el apartado pertinente relaciona como disposición legal para la exclusión del IVA el artículo 22 de la  Ley 47 de 1993 y el artículo 270 de de la Ley 223 de 1995, aplicándolo así dentro de su oferta.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</si>
</sst>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quot;$&quot;* #,##0.00_);_(&quot;$&quot;* \(#,##0.00\);_(&quot;$&quot;* &quot;-&quot;??_);_(@_)"/>
    <numFmt numFmtId="166" formatCode="_(&quot;$&quot;* #,##0_);_(&quot;$&quot;* \(#,##0\);_(&quot;$&quot;* &quot;-&quot;??_);_(@_)"/>
    <numFmt numFmtId="167" formatCode="#,##0.000"/>
    <numFmt numFmtId="168" formatCode="_(* #,##0_);_(* \(#,##0\);_(* &quot;-&quot;??_);_(@_)"/>
  </numFmts>
  <fonts count="18" x14ac:knownFonts="1">
    <font>
      <sz val="11"/>
      <color theme="1"/>
      <name val="Calibri"/>
      <family val="2"/>
      <scheme val="minor"/>
    </font>
    <font>
      <sz val="10"/>
      <name val="Arial"/>
      <family val="2"/>
    </font>
    <font>
      <b/>
      <sz val="10"/>
      <name val="Arial Narrow"/>
      <family val="2"/>
    </font>
    <font>
      <sz val="10"/>
      <color theme="1"/>
      <name val="Arial Narrow"/>
      <family val="2"/>
    </font>
    <font>
      <b/>
      <sz val="10"/>
      <color theme="1"/>
      <name val="Arial Narrow"/>
      <family val="2"/>
    </font>
    <font>
      <b/>
      <sz val="9"/>
      <color theme="1"/>
      <name val="Arial Narrow"/>
      <family val="2"/>
    </font>
    <font>
      <sz val="11"/>
      <color theme="1"/>
      <name val="Arial Narrow"/>
      <family val="2"/>
    </font>
    <font>
      <sz val="9"/>
      <color theme="1"/>
      <name val="Arial Narrow"/>
      <family val="2"/>
    </font>
    <font>
      <b/>
      <sz val="7"/>
      <color rgb="FF000000"/>
      <name val="Arial Narrow"/>
      <family val="2"/>
    </font>
    <font>
      <sz val="9"/>
      <color rgb="FF000000"/>
      <name val="Arial Narrow"/>
      <family val="2"/>
    </font>
    <font>
      <b/>
      <sz val="9"/>
      <color rgb="FF000000"/>
      <name val="Arial Narrow"/>
      <family val="2"/>
    </font>
    <font>
      <sz val="11"/>
      <color theme="1"/>
      <name val="Calibri"/>
      <family val="2"/>
      <scheme val="minor"/>
    </font>
    <font>
      <b/>
      <sz val="9"/>
      <color rgb="FF92D050"/>
      <name val="Arial Narrow"/>
      <family val="2"/>
    </font>
    <font>
      <sz val="9"/>
      <name val="Arial Narrow"/>
      <family val="2"/>
    </font>
    <font>
      <b/>
      <sz val="9"/>
      <name val="Arial Narrow"/>
      <family val="2"/>
    </font>
    <font>
      <b/>
      <sz val="11"/>
      <color theme="1"/>
      <name val="Arial Narrow"/>
      <family val="2"/>
    </font>
    <font>
      <sz val="9"/>
      <color theme="1"/>
      <name val="Calibri"/>
      <family val="2"/>
      <scheme val="minor"/>
    </font>
    <font>
      <b/>
      <sz val="7"/>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1" fillId="0" borderId="0" applyFont="0" applyFill="0" applyBorder="0" applyAlignment="0" applyProtection="0"/>
  </cellStyleXfs>
  <cellXfs count="211">
    <xf numFmtId="0" fontId="0" fillId="0" borderId="0" xfId="0"/>
    <xf numFmtId="0" fontId="3" fillId="0" borderId="0" xfId="0" applyFont="1"/>
    <xf numFmtId="0" fontId="6" fillId="0" borderId="0" xfId="0" applyFont="1" applyBorder="1"/>
    <xf numFmtId="0" fontId="9" fillId="0" borderId="0" xfId="0" applyFont="1" applyBorder="1" applyAlignment="1">
      <alignment horizontal="justify" vertical="center" wrapText="1"/>
    </xf>
    <xf numFmtId="0" fontId="10" fillId="0" borderId="0"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12" xfId="0" applyFont="1" applyBorder="1" applyAlignment="1">
      <alignment horizontal="center" vertical="center"/>
    </xf>
    <xf numFmtId="0" fontId="9" fillId="0" borderId="12" xfId="0" applyFont="1" applyBorder="1" applyAlignment="1">
      <alignment horizontal="center" vertical="center" wrapText="1"/>
    </xf>
    <xf numFmtId="0" fontId="9" fillId="0" borderId="0" xfId="0" applyFont="1" applyBorder="1" applyAlignment="1">
      <alignment horizontal="justify" vertical="top" wrapText="1"/>
    </xf>
    <xf numFmtId="0" fontId="10" fillId="0" borderId="12" xfId="0" applyFont="1" applyBorder="1" applyAlignment="1">
      <alignment horizontal="justify" vertic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5" fillId="0" borderId="12" xfId="0" applyFont="1" applyBorder="1" applyAlignment="1">
      <alignment horizontal="justify" vertical="center" wrapText="1"/>
    </xf>
    <xf numFmtId="0" fontId="3" fillId="0" borderId="0" xfId="0" applyFont="1" applyBorder="1"/>
    <xf numFmtId="0" fontId="7" fillId="0" borderId="0" xfId="0" applyFont="1" applyAlignment="1">
      <alignment vertical="center" wrapText="1"/>
    </xf>
    <xf numFmtId="0" fontId="7" fillId="0" borderId="12" xfId="0" applyFont="1" applyBorder="1" applyAlignment="1">
      <alignment horizontal="justify" vertical="center" wrapText="1"/>
    </xf>
    <xf numFmtId="0" fontId="3" fillId="0" borderId="12" xfId="0" applyFont="1" applyBorder="1" applyAlignment="1">
      <alignment wrapText="1"/>
    </xf>
    <xf numFmtId="0" fontId="7" fillId="0" borderId="12" xfId="0" applyFont="1" applyBorder="1" applyAlignment="1">
      <alignment horizontal="justify" vertical="top" wrapText="1"/>
    </xf>
    <xf numFmtId="0" fontId="7" fillId="0" borderId="12" xfId="0" applyFont="1" applyBorder="1" applyAlignment="1">
      <alignment wrapText="1"/>
    </xf>
    <xf numFmtId="0" fontId="7" fillId="0" borderId="12" xfId="0" applyFont="1" applyBorder="1" applyAlignment="1">
      <alignment vertical="top"/>
    </xf>
    <xf numFmtId="4" fontId="9" fillId="0" borderId="12" xfId="0" applyNumberFormat="1" applyFont="1" applyBorder="1" applyAlignment="1">
      <alignment horizontal="center" vertical="center"/>
    </xf>
    <xf numFmtId="4" fontId="9" fillId="0" borderId="12" xfId="0" applyNumberFormat="1" applyFont="1" applyBorder="1" applyAlignment="1">
      <alignment horizontal="center" vertical="center" wrapText="1"/>
    </xf>
    <xf numFmtId="4" fontId="9" fillId="0" borderId="0" xfId="0" applyNumberFormat="1" applyFont="1" applyBorder="1" applyAlignment="1">
      <alignment horizontal="justify" vertical="center" wrapText="1"/>
    </xf>
    <xf numFmtId="4" fontId="9" fillId="0" borderId="12" xfId="0" applyNumberFormat="1" applyFont="1" applyBorder="1" applyAlignment="1">
      <alignment horizontal="justify" vertical="top" wrapText="1"/>
    </xf>
    <xf numFmtId="164" fontId="9" fillId="0" borderId="0" xfId="7" applyFont="1" applyBorder="1" applyAlignment="1">
      <alignment horizontal="justify" vertical="center" wrapText="1"/>
    </xf>
    <xf numFmtId="164" fontId="9" fillId="0" borderId="0" xfId="0" applyNumberFormat="1" applyFont="1" applyBorder="1" applyAlignment="1">
      <alignment horizontal="justify" vertical="center" wrapText="1"/>
    </xf>
    <xf numFmtId="4" fontId="9" fillId="0" borderId="12" xfId="0" applyNumberFormat="1" applyFont="1" applyBorder="1" applyAlignment="1">
      <alignment horizontal="justify" vertical="center" wrapText="1"/>
    </xf>
    <xf numFmtId="4" fontId="13" fillId="0" borderId="12"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7" fillId="0" borderId="0" xfId="0" applyFont="1" applyAlignment="1">
      <alignment horizontal="left" vertical="center" wrapText="1"/>
    </xf>
    <xf numFmtId="168" fontId="5" fillId="0" borderId="0" xfId="7" applyNumberFormat="1" applyFont="1" applyBorder="1" applyAlignment="1">
      <alignment vertical="center" wrapText="1"/>
    </xf>
    <xf numFmtId="168" fontId="5" fillId="0" borderId="12" xfId="7" applyNumberFormat="1" applyFont="1" applyBorder="1" applyAlignment="1">
      <alignment vertical="center" wrapText="1"/>
    </xf>
    <xf numFmtId="168" fontId="12" fillId="0" borderId="0" xfId="0" applyNumberFormat="1" applyFont="1" applyBorder="1" applyAlignment="1">
      <alignment vertical="top" wrapText="1"/>
    </xf>
    <xf numFmtId="0" fontId="3" fillId="0" borderId="4" xfId="0" applyFont="1" applyBorder="1"/>
    <xf numFmtId="0" fontId="3" fillId="0" borderId="16" xfId="0" applyFont="1" applyBorder="1"/>
    <xf numFmtId="0" fontId="7" fillId="0" borderId="0" xfId="0" applyFont="1" applyBorder="1"/>
    <xf numFmtId="0" fontId="10" fillId="0" borderId="12" xfId="0" applyFont="1" applyBorder="1" applyAlignment="1">
      <alignment horizontal="center" vertical="center"/>
    </xf>
    <xf numFmtId="0" fontId="10" fillId="0" borderId="12" xfId="0" applyFont="1" applyBorder="1" applyAlignment="1">
      <alignment horizontal="center" vertical="center" wrapText="1"/>
    </xf>
    <xf numFmtId="4" fontId="7" fillId="0" borderId="12" xfId="0" applyNumberFormat="1" applyFont="1" applyBorder="1"/>
    <xf numFmtId="0" fontId="7" fillId="0" borderId="11" xfId="0" applyFont="1" applyBorder="1"/>
    <xf numFmtId="0" fontId="7" fillId="0" borderId="0" xfId="0" applyFont="1"/>
    <xf numFmtId="0" fontId="16" fillId="0" borderId="0" xfId="0" applyFont="1" applyBorder="1"/>
    <xf numFmtId="0" fontId="7" fillId="0" borderId="12" xfId="0" applyFont="1" applyBorder="1"/>
    <xf numFmtId="0" fontId="7" fillId="0" borderId="0" xfId="0" applyFont="1" applyAlignment="1">
      <alignment vertical="top"/>
    </xf>
    <xf numFmtId="0" fontId="10" fillId="4" borderId="12" xfId="0" applyFont="1" applyFill="1" applyBorder="1" applyAlignment="1">
      <alignment horizontal="center" vertical="center" wrapText="1"/>
    </xf>
    <xf numFmtId="0" fontId="7" fillId="0" borderId="0" xfId="0" applyFont="1" applyAlignment="1">
      <alignment horizontal="justify" vertical="center" wrapText="1"/>
    </xf>
    <xf numFmtId="0" fontId="7" fillId="0" borderId="4" xfId="0" applyFont="1" applyBorder="1"/>
    <xf numFmtId="0" fontId="7" fillId="0" borderId="0" xfId="0" applyFont="1" applyAlignment="1">
      <alignment vertical="top" wrapText="1"/>
    </xf>
    <xf numFmtId="3" fontId="7" fillId="0" borderId="12" xfId="0" applyNumberFormat="1" applyFont="1" applyBorder="1"/>
    <xf numFmtId="0" fontId="10" fillId="0" borderId="12" xfId="0" applyFont="1" applyBorder="1" applyAlignment="1">
      <alignment horizontal="left" vertical="center"/>
    </xf>
    <xf numFmtId="0" fontId="7" fillId="0" borderId="12" xfId="0" applyFont="1" applyBorder="1" applyAlignment="1">
      <alignment vertical="top" wrapText="1"/>
    </xf>
    <xf numFmtId="0" fontId="10" fillId="0" borderId="0" xfId="0" applyFont="1" applyBorder="1" applyAlignment="1">
      <alignment horizontal="left" vertical="center"/>
    </xf>
    <xf numFmtId="3" fontId="5" fillId="0" borderId="11" xfId="0" applyNumberFormat="1" applyFont="1" applyBorder="1"/>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3" fontId="5" fillId="0" borderId="10" xfId="0" applyNumberFormat="1" applyFont="1" applyBorder="1"/>
    <xf numFmtId="0" fontId="7" fillId="0" borderId="16" xfId="0" applyFont="1" applyBorder="1"/>
    <xf numFmtId="0" fontId="10" fillId="0" borderId="6" xfId="0" applyFont="1" applyBorder="1" applyAlignment="1">
      <alignment horizontal="left" vertical="center"/>
    </xf>
    <xf numFmtId="0" fontId="10" fillId="0" borderId="7" xfId="0" applyFont="1" applyBorder="1" applyAlignment="1">
      <alignment horizontal="left" vertical="center"/>
    </xf>
    <xf numFmtId="0" fontId="7" fillId="0" borderId="8" xfId="0" applyFont="1" applyBorder="1"/>
    <xf numFmtId="3" fontId="7" fillId="2" borderId="12" xfId="0" applyNumberFormat="1" applyFont="1" applyFill="1" applyBorder="1"/>
    <xf numFmtId="0" fontId="8" fillId="4" borderId="12" xfId="0" applyFont="1" applyFill="1" applyBorder="1" applyAlignment="1">
      <alignment horizontal="center" vertical="center" wrapText="1"/>
    </xf>
    <xf numFmtId="0" fontId="8" fillId="4" borderId="12" xfId="0" applyFont="1" applyFill="1" applyBorder="1" applyAlignment="1">
      <alignment horizontal="justify" vertical="center" wrapText="1"/>
    </xf>
    <xf numFmtId="0" fontId="7" fillId="5" borderId="12" xfId="0" applyFont="1" applyFill="1" applyBorder="1" applyAlignment="1">
      <alignment horizontal="justify" vertical="center" wrapText="1"/>
    </xf>
    <xf numFmtId="0" fontId="7" fillId="0" borderId="12" xfId="0" applyFont="1" applyBorder="1" applyAlignment="1">
      <alignment horizontal="center" vertical="center"/>
    </xf>
    <xf numFmtId="4" fontId="7" fillId="0" borderId="12" xfId="0" applyNumberFormat="1" applyFont="1" applyBorder="1" applyAlignment="1">
      <alignment horizontal="justify" vertical="center"/>
    </xf>
    <xf numFmtId="167" fontId="7" fillId="0" borderId="12" xfId="0" applyNumberFormat="1" applyFont="1" applyBorder="1" applyAlignment="1">
      <alignment horizontal="justify" vertical="center"/>
    </xf>
    <xf numFmtId="0" fontId="7" fillId="0" borderId="12" xfId="0" applyFont="1" applyBorder="1" applyAlignment="1">
      <alignment horizontal="center" vertical="center" wrapText="1"/>
    </xf>
    <xf numFmtId="0" fontId="3" fillId="0" borderId="5" xfId="0" applyFont="1" applyBorder="1"/>
    <xf numFmtId="0" fontId="3" fillId="0" borderId="5" xfId="0" applyFont="1" applyBorder="1" applyAlignment="1">
      <alignment vertical="center"/>
    </xf>
    <xf numFmtId="3" fontId="5" fillId="0" borderId="12" xfId="0" applyNumberFormat="1" applyFont="1" applyBorder="1" applyAlignment="1">
      <alignment horizontal="justify" vertical="top"/>
    </xf>
    <xf numFmtId="0" fontId="6" fillId="0" borderId="15" xfId="0" applyFont="1" applyBorder="1" applyAlignment="1">
      <alignment vertical="top"/>
    </xf>
    <xf numFmtId="4" fontId="15" fillId="0" borderId="12" xfId="0" applyNumberFormat="1" applyFont="1" applyBorder="1" applyAlignment="1">
      <alignment vertical="top"/>
    </xf>
    <xf numFmtId="0" fontId="7" fillId="0" borderId="0" xfId="0" applyFont="1" applyBorder="1" applyAlignment="1">
      <alignment horizontal="justify" vertical="center"/>
    </xf>
    <xf numFmtId="0" fontId="7" fillId="0" borderId="0" xfId="0" applyFont="1" applyBorder="1" applyAlignment="1">
      <alignment horizontal="center" vertical="center"/>
    </xf>
    <xf numFmtId="0" fontId="5" fillId="0" borderId="0" xfId="0" applyFont="1" applyBorder="1" applyAlignment="1">
      <alignment horizontal="justify" vertical="center"/>
    </xf>
    <xf numFmtId="0" fontId="6" fillId="0" borderId="6" xfId="0" applyFont="1" applyBorder="1"/>
    <xf numFmtId="3" fontId="6" fillId="0" borderId="0" xfId="0" applyNumberFormat="1" applyFont="1" applyBorder="1"/>
    <xf numFmtId="0" fontId="6" fillId="0" borderId="8" xfId="0" applyFont="1" applyBorder="1"/>
    <xf numFmtId="3" fontId="3" fillId="0" borderId="0" xfId="0" applyNumberFormat="1" applyFont="1" applyBorder="1"/>
    <xf numFmtId="0" fontId="3" fillId="0" borderId="0" xfId="0" applyFont="1" applyBorder="1" applyAlignment="1">
      <alignment vertical="center"/>
    </xf>
    <xf numFmtId="0" fontId="5" fillId="2" borderId="12" xfId="0" applyFont="1" applyFill="1" applyBorder="1" applyAlignment="1">
      <alignment horizontal="center" vertical="center" wrapText="1"/>
    </xf>
    <xf numFmtId="166" fontId="14" fillId="2" borderId="12" xfId="2" applyNumberFormat="1" applyFont="1" applyFill="1" applyBorder="1" applyAlignment="1">
      <alignment horizontal="center" vertical="center" wrapText="1"/>
    </xf>
    <xf numFmtId="166" fontId="14" fillId="2" borderId="0" xfId="2" applyNumberFormat="1" applyFont="1" applyFill="1" applyBorder="1" applyAlignment="1">
      <alignment horizontal="center" vertical="top" wrapText="1"/>
    </xf>
    <xf numFmtId="0" fontId="7" fillId="2" borderId="0" xfId="0" applyFont="1" applyFill="1" applyBorder="1"/>
    <xf numFmtId="0" fontId="7" fillId="2" borderId="12" xfId="0" applyFont="1" applyFill="1" applyBorder="1" applyAlignment="1">
      <alignment horizontal="justify" vertical="center" wrapText="1"/>
    </xf>
    <xf numFmtId="3" fontId="7" fillId="2" borderId="12" xfId="0" applyNumberFormat="1" applyFont="1" applyFill="1" applyBorder="1" applyAlignment="1">
      <alignment vertical="top"/>
    </xf>
    <xf numFmtId="0" fontId="5" fillId="2" borderId="0" xfId="0" applyFont="1" applyFill="1" applyBorder="1"/>
    <xf numFmtId="1" fontId="7" fillId="2" borderId="0" xfId="0" applyNumberFormat="1" applyFont="1" applyFill="1" applyBorder="1"/>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7" fillId="2" borderId="0" xfId="0" applyFont="1" applyFill="1" applyBorder="1" applyAlignment="1">
      <alignment horizontal="justify" vertical="center" wrapText="1"/>
    </xf>
    <xf numFmtId="0" fontId="7" fillId="2" borderId="12" xfId="0" applyFont="1" applyFill="1" applyBorder="1" applyAlignment="1">
      <alignment vertical="top"/>
    </xf>
    <xf numFmtId="0" fontId="5" fillId="0" borderId="0" xfId="0" applyFont="1" applyBorder="1" applyAlignment="1">
      <alignment vertical="top" wrapText="1"/>
    </xf>
    <xf numFmtId="168" fontId="10" fillId="0" borderId="12" xfId="7" applyNumberFormat="1" applyFont="1" applyBorder="1" applyAlignment="1">
      <alignment horizontal="center" vertical="center" wrapText="1"/>
    </xf>
    <xf numFmtId="168" fontId="10" fillId="0" borderId="12" xfId="7" applyNumberFormat="1" applyFont="1" applyBorder="1" applyAlignment="1">
      <alignment horizontal="justify" vertical="center" wrapText="1"/>
    </xf>
    <xf numFmtId="0" fontId="10" fillId="0" borderId="12" xfId="0" applyFont="1" applyBorder="1" applyAlignment="1">
      <alignment horizontal="left" vertical="center" wrapText="1"/>
    </xf>
    <xf numFmtId="9" fontId="9" fillId="0" borderId="12" xfId="0" applyNumberFormat="1" applyFont="1" applyBorder="1" applyAlignment="1">
      <alignment horizontal="justify" vertical="center" wrapText="1"/>
    </xf>
    <xf numFmtId="168" fontId="9" fillId="0" borderId="12" xfId="7" applyNumberFormat="1" applyFont="1" applyBorder="1" applyAlignment="1">
      <alignment horizontal="justify" vertical="center" wrapText="1"/>
    </xf>
    <xf numFmtId="168" fontId="5" fillId="0" borderId="12" xfId="7" applyNumberFormat="1" applyFont="1" applyBorder="1"/>
    <xf numFmtId="168" fontId="10" fillId="0" borderId="15" xfId="7" applyNumberFormat="1" applyFont="1" applyBorder="1" applyAlignment="1">
      <alignment horizontal="center" vertical="center" wrapText="1"/>
    </xf>
    <xf numFmtId="168" fontId="7" fillId="0" borderId="0" xfId="0" applyNumberFormat="1" applyFont="1"/>
    <xf numFmtId="168" fontId="9" fillId="0" borderId="12" xfId="7" applyNumberFormat="1" applyFont="1" applyBorder="1" applyAlignment="1">
      <alignment horizontal="justify" vertical="top" wrapText="1"/>
    </xf>
    <xf numFmtId="168" fontId="10" fillId="0" borderId="12" xfId="7" applyNumberFormat="1" applyFont="1" applyBorder="1" applyAlignment="1">
      <alignment horizontal="justify" vertical="center"/>
    </xf>
    <xf numFmtId="168" fontId="7" fillId="0" borderId="12" xfId="7" applyNumberFormat="1" applyFont="1" applyBorder="1"/>
    <xf numFmtId="168" fontId="7" fillId="0" borderId="0" xfId="7" applyNumberFormat="1" applyFont="1"/>
    <xf numFmtId="0" fontId="7" fillId="0" borderId="12" xfId="0" applyFont="1" applyBorder="1" applyAlignment="1">
      <alignment horizontal="left" vertical="top" wrapText="1"/>
    </xf>
    <xf numFmtId="168" fontId="14" fillId="0" borderId="12" xfId="7" applyNumberFormat="1" applyFont="1" applyFill="1" applyBorder="1" applyAlignment="1">
      <alignment horizontal="center" vertical="center" wrapText="1"/>
    </xf>
    <xf numFmtId="0" fontId="7" fillId="0" borderId="12" xfId="0" applyFont="1" applyBorder="1" applyAlignment="1">
      <alignment horizontal="left" vertical="top"/>
    </xf>
    <xf numFmtId="168" fontId="5" fillId="0" borderId="15" xfId="7" applyNumberFormat="1" applyFont="1" applyBorder="1" applyAlignment="1">
      <alignment horizontal="center"/>
    </xf>
    <xf numFmtId="168" fontId="5" fillId="0" borderId="9" xfId="7" applyNumberFormat="1" applyFont="1" applyBorder="1" applyAlignment="1">
      <alignment horizontal="center"/>
    </xf>
    <xf numFmtId="0" fontId="7" fillId="0" borderId="0" xfId="0" applyFont="1" applyAlignment="1">
      <alignment horizontal="left" vertical="top" wrapText="1"/>
    </xf>
    <xf numFmtId="166" fontId="14" fillId="3" borderId="12" xfId="2" applyNumberFormat="1" applyFont="1" applyFill="1" applyBorder="1" applyAlignment="1">
      <alignment horizontal="left" vertical="center" wrapText="1"/>
    </xf>
    <xf numFmtId="0" fontId="5"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5" fillId="0" borderId="12" xfId="0" applyFont="1" applyBorder="1" applyAlignment="1">
      <alignment horizontal="left" vertical="center" wrapText="1"/>
    </xf>
    <xf numFmtId="0" fontId="7" fillId="0" borderId="0" xfId="0" applyFont="1" applyAlignment="1">
      <alignment horizontal="left" vertical="center" wrapText="1"/>
    </xf>
    <xf numFmtId="0" fontId="10" fillId="0" borderId="13"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168" fontId="10" fillId="0" borderId="15" xfId="7" applyNumberFormat="1" applyFont="1" applyBorder="1" applyAlignment="1">
      <alignment horizontal="center" vertical="center" wrapText="1"/>
    </xf>
    <xf numFmtId="168" fontId="10" fillId="0" borderId="9" xfId="7" applyNumberFormat="1" applyFont="1" applyBorder="1" applyAlignment="1">
      <alignment horizontal="center" vertical="center" wrapText="1"/>
    </xf>
    <xf numFmtId="0" fontId="10" fillId="0" borderId="12" xfId="0" applyFont="1" applyBorder="1" applyAlignment="1">
      <alignment horizontal="justify" vertical="center" wrapText="1"/>
    </xf>
    <xf numFmtId="0" fontId="5" fillId="0" borderId="12" xfId="0" applyFont="1" applyBorder="1" applyAlignment="1">
      <alignment horizontal="center" vertical="center"/>
    </xf>
    <xf numFmtId="0" fontId="9" fillId="0" borderId="12" xfId="0" applyFont="1" applyBorder="1" applyAlignment="1">
      <alignment horizontal="justify" vertical="center" wrapText="1"/>
    </xf>
    <xf numFmtId="0" fontId="10" fillId="0" borderId="15" xfId="0" applyFont="1" applyBorder="1" applyAlignment="1">
      <alignment horizontal="left" vertical="top" wrapText="1"/>
    </xf>
    <xf numFmtId="0" fontId="10" fillId="0" borderId="14" xfId="0" applyFont="1" applyBorder="1" applyAlignment="1">
      <alignment horizontal="left" vertical="top" wrapText="1"/>
    </xf>
    <xf numFmtId="0" fontId="10" fillId="0" borderId="9" xfId="0" applyFont="1" applyBorder="1" applyAlignment="1">
      <alignment horizontal="left" vertical="top"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168" fontId="14" fillId="0" borderId="15" xfId="7" applyNumberFormat="1"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0" xfId="0" applyFont="1" applyBorder="1" applyAlignment="1">
      <alignment horizontal="left" vertical="top"/>
    </xf>
    <xf numFmtId="166" fontId="14" fillId="2" borderId="12" xfId="2" applyNumberFormat="1" applyFont="1" applyFill="1" applyBorder="1" applyAlignment="1">
      <alignment horizontal="left" vertical="top" wrapText="1"/>
    </xf>
    <xf numFmtId="0" fontId="5" fillId="0" borderId="12"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2" xfId="0" applyFont="1" applyFill="1" applyBorder="1" applyAlignment="1">
      <alignment horizontal="left" vertical="top"/>
    </xf>
    <xf numFmtId="0" fontId="7" fillId="2" borderId="12" xfId="0" applyFont="1" applyFill="1" applyBorder="1" applyAlignment="1">
      <alignment horizontal="left" vertical="top"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9" xfId="0" applyFont="1" applyBorder="1" applyAlignment="1">
      <alignment horizontal="center" vertical="center"/>
    </xf>
    <xf numFmtId="166" fontId="2" fillId="2" borderId="12" xfId="2" applyNumberFormat="1" applyFont="1" applyFill="1" applyBorder="1" applyAlignment="1">
      <alignment horizontal="center" vertical="top" wrapText="1"/>
    </xf>
    <xf numFmtId="166" fontId="2" fillId="2" borderId="0" xfId="2" applyNumberFormat="1" applyFont="1" applyFill="1" applyBorder="1" applyAlignment="1">
      <alignment horizontal="center" vertical="top" wrapText="1"/>
    </xf>
    <xf numFmtId="0" fontId="8" fillId="4" borderId="12" xfId="0" applyFont="1" applyFill="1" applyBorder="1" applyAlignment="1">
      <alignment horizontal="center" vertical="center" wrapText="1"/>
    </xf>
    <xf numFmtId="0" fontId="7" fillId="5" borderId="12" xfId="0" applyFont="1" applyFill="1" applyBorder="1" applyAlignment="1">
      <alignment horizontal="justify" vertical="center" wrapText="1"/>
    </xf>
    <xf numFmtId="0" fontId="7" fillId="0" borderId="13" xfId="0" applyFont="1" applyBorder="1" applyAlignment="1">
      <alignment wrapText="1"/>
    </xf>
    <xf numFmtId="0" fontId="16" fillId="0" borderId="10" xfId="0" applyFont="1" applyBorder="1" applyAlignment="1">
      <alignment wrapText="1"/>
    </xf>
    <xf numFmtId="0" fontId="16" fillId="0" borderId="11" xfId="0" applyFont="1" applyBorder="1" applyAlignment="1">
      <alignment wrapText="1"/>
    </xf>
    <xf numFmtId="0" fontId="17" fillId="4" borderId="12" xfId="0" applyFont="1" applyFill="1" applyBorder="1" applyAlignment="1">
      <alignment horizontal="center" vertical="center" wrapText="1"/>
    </xf>
    <xf numFmtId="166" fontId="2" fillId="2" borderId="13" xfId="2" applyNumberFormat="1" applyFont="1" applyFill="1" applyBorder="1" applyAlignment="1">
      <alignment horizontal="left" vertical="top" wrapText="1"/>
    </xf>
    <xf numFmtId="166" fontId="2" fillId="2" borderId="10" xfId="2" applyNumberFormat="1" applyFont="1" applyFill="1" applyBorder="1" applyAlignment="1">
      <alignment horizontal="left" vertical="top" wrapText="1"/>
    </xf>
    <xf numFmtId="166" fontId="2" fillId="2" borderId="11" xfId="2" applyNumberFormat="1" applyFont="1" applyFill="1" applyBorder="1" applyAlignment="1">
      <alignment horizontal="left" vertical="top" wrapText="1"/>
    </xf>
    <xf numFmtId="0" fontId="4" fillId="2" borderId="12" xfId="0" applyFont="1" applyFill="1" applyBorder="1" applyAlignment="1">
      <alignment horizontal="left"/>
    </xf>
    <xf numFmtId="0" fontId="4" fillId="2" borderId="13"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3" fontId="6" fillId="0" borderId="13" xfId="0" applyNumberFormat="1" applyFont="1" applyBorder="1" applyAlignment="1">
      <alignment horizontal="left" vertical="top"/>
    </xf>
    <xf numFmtId="3" fontId="6" fillId="0" borderId="10" xfId="0" applyNumberFormat="1" applyFont="1" applyBorder="1" applyAlignment="1">
      <alignment horizontal="left" vertical="top"/>
    </xf>
    <xf numFmtId="3" fontId="6" fillId="0" borderId="11" xfId="0" applyNumberFormat="1" applyFont="1" applyBorder="1" applyAlignment="1">
      <alignment horizontal="left" vertical="top"/>
    </xf>
    <xf numFmtId="0" fontId="7" fillId="0" borderId="13" xfId="0" applyFont="1" applyBorder="1" applyAlignment="1">
      <alignment horizontal="left" vertical="top" wrapText="1"/>
    </xf>
    <xf numFmtId="0" fontId="7" fillId="0" borderId="10" xfId="0" applyFont="1" applyBorder="1" applyAlignment="1">
      <alignment horizontal="left" vertical="top" wrapText="1"/>
    </xf>
    <xf numFmtId="0" fontId="3" fillId="0" borderId="0" xfId="0" applyFont="1" applyAlignment="1">
      <alignment horizontal="left" vertical="top" wrapText="1"/>
    </xf>
    <xf numFmtId="0" fontId="8" fillId="4" borderId="13"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166" fontId="14" fillId="2" borderId="13" xfId="2" applyNumberFormat="1" applyFont="1" applyFill="1" applyBorder="1" applyAlignment="1">
      <alignment horizontal="left" vertical="top" wrapText="1"/>
    </xf>
    <xf numFmtId="166" fontId="14" fillId="2" borderId="10" xfId="2" applyNumberFormat="1" applyFont="1" applyFill="1" applyBorder="1" applyAlignment="1">
      <alignment horizontal="left" vertical="top" wrapText="1"/>
    </xf>
    <xf numFmtId="166" fontId="14" fillId="2" borderId="11" xfId="2" applyNumberFormat="1" applyFont="1" applyFill="1" applyBorder="1" applyAlignment="1">
      <alignment horizontal="left" vertical="top" wrapText="1"/>
    </xf>
    <xf numFmtId="4" fontId="9" fillId="0" borderId="13" xfId="0" applyNumberFormat="1"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7" fillId="0" borderId="11" xfId="0" applyFont="1" applyBorder="1" applyAlignment="1">
      <alignment horizontal="left" vertical="top" wrapText="1"/>
    </xf>
    <xf numFmtId="0" fontId="5" fillId="0" borderId="12" xfId="0" applyFont="1" applyBorder="1" applyAlignment="1">
      <alignment horizontal="left" vertical="top"/>
    </xf>
    <xf numFmtId="0" fontId="13" fillId="0" borderId="12" xfId="0" applyFont="1" applyBorder="1" applyAlignment="1">
      <alignment horizontal="left" vertical="top" wrapText="1"/>
    </xf>
    <xf numFmtId="0" fontId="12" fillId="0" borderId="12" xfId="0" applyFont="1" applyBorder="1" applyAlignment="1">
      <alignment horizontal="left" vertical="top" wrapText="1"/>
    </xf>
    <xf numFmtId="168" fontId="12" fillId="0" borderId="12" xfId="0" applyNumberFormat="1" applyFont="1" applyBorder="1" applyAlignment="1">
      <alignment horizontal="left" vertical="top" wrapText="1"/>
    </xf>
    <xf numFmtId="0" fontId="14" fillId="0" borderId="12" xfId="0" applyFont="1" applyBorder="1" applyAlignment="1">
      <alignment horizontal="left" vertical="top" wrapText="1"/>
    </xf>
    <xf numFmtId="168" fontId="14" fillId="0" borderId="12" xfId="0" applyNumberFormat="1" applyFont="1" applyBorder="1" applyAlignment="1">
      <alignment horizontal="left" vertical="top"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4" borderId="12" xfId="0" applyFont="1" applyFill="1" applyBorder="1" applyAlignment="1">
      <alignment horizontal="center" vertical="center" wrapText="1"/>
    </xf>
    <xf numFmtId="4" fontId="7" fillId="0" borderId="13" xfId="0" applyNumberFormat="1" applyFont="1" applyBorder="1" applyAlignment="1">
      <alignment horizontal="left"/>
    </xf>
    <xf numFmtId="4" fontId="7" fillId="0" borderId="10" xfId="0" applyNumberFormat="1" applyFont="1" applyBorder="1" applyAlignment="1">
      <alignment horizontal="left"/>
    </xf>
    <xf numFmtId="4" fontId="7" fillId="0" borderId="11" xfId="0" applyNumberFormat="1" applyFont="1" applyBorder="1" applyAlignment="1">
      <alignment horizontal="left"/>
    </xf>
    <xf numFmtId="0" fontId="5" fillId="0" borderId="12" xfId="0" applyFont="1" applyBorder="1" applyAlignment="1">
      <alignment horizontal="justify" vertical="center" wrapText="1"/>
    </xf>
    <xf numFmtId="0" fontId="10" fillId="0" borderId="12"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xf>
    <xf numFmtId="0" fontId="5" fillId="0" borderId="5" xfId="0" applyFont="1" applyBorder="1" applyAlignment="1">
      <alignment horizontal="left"/>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tabSelected="1" topLeftCell="A95" zoomScale="150" zoomScaleNormal="150" workbookViewId="0">
      <selection activeCell="A97" sqref="A97:H97"/>
    </sheetView>
  </sheetViews>
  <sheetFormatPr baseColWidth="10" defaultRowHeight="13.5" x14ac:dyDescent="0.25"/>
  <cols>
    <col min="1" max="1" width="21.42578125" style="42" customWidth="1"/>
    <col min="2" max="4" width="11.42578125" style="42"/>
    <col min="5" max="7" width="11.42578125" style="107"/>
    <col min="8" max="8" width="19.85546875" style="107" customWidth="1"/>
    <col min="9" max="9" width="32" style="107" customWidth="1"/>
    <col min="10" max="10" width="11.42578125" style="42"/>
    <col min="11" max="11" width="19.140625" style="42" customWidth="1"/>
    <col min="12" max="16384" width="11.42578125" style="42"/>
  </cols>
  <sheetData>
    <row r="1" spans="1:9" ht="20.25" customHeight="1" x14ac:dyDescent="0.25">
      <c r="A1" s="138" t="s">
        <v>0</v>
      </c>
      <c r="B1" s="139"/>
      <c r="C1" s="139"/>
      <c r="D1" s="133" t="s">
        <v>8</v>
      </c>
      <c r="E1" s="109" t="s">
        <v>180</v>
      </c>
      <c r="F1" s="109" t="s">
        <v>212</v>
      </c>
      <c r="G1" s="109" t="s">
        <v>183</v>
      </c>
      <c r="H1" s="109" t="s">
        <v>179</v>
      </c>
      <c r="I1" s="109" t="s">
        <v>215</v>
      </c>
    </row>
    <row r="2" spans="1:9" ht="15.75" customHeight="1" x14ac:dyDescent="0.25">
      <c r="A2" s="140"/>
      <c r="B2" s="141"/>
      <c r="C2" s="141"/>
      <c r="D2" s="134"/>
      <c r="E2" s="135"/>
      <c r="F2" s="135"/>
      <c r="G2" s="135"/>
      <c r="H2" s="135"/>
      <c r="I2" s="109"/>
    </row>
    <row r="3" spans="1:9" x14ac:dyDescent="0.25">
      <c r="A3" s="44"/>
      <c r="B3" s="133" t="s">
        <v>2</v>
      </c>
      <c r="C3" s="133"/>
      <c r="D3" s="133">
        <v>16</v>
      </c>
      <c r="E3" s="96"/>
      <c r="F3" s="97"/>
      <c r="G3" s="97"/>
      <c r="H3" s="96"/>
      <c r="I3" s="96"/>
    </row>
    <row r="4" spans="1:9" ht="13.5" customHeight="1" x14ac:dyDescent="0.25">
      <c r="A4" s="133" t="s">
        <v>7</v>
      </c>
      <c r="B4" s="127" t="s">
        <v>236</v>
      </c>
      <c r="C4" s="127"/>
      <c r="D4" s="133"/>
      <c r="E4" s="97">
        <v>644350</v>
      </c>
      <c r="F4" s="96">
        <f t="shared" ref="F4:F12" si="0">+E4*13/100</f>
        <v>83765.5</v>
      </c>
      <c r="G4" s="96">
        <f t="shared" ref="G4:G15" si="1">+F4*16/100</f>
        <v>13402.48</v>
      </c>
      <c r="H4" s="96">
        <f>+(E4+F4+G4)*16</f>
        <v>11864287.68</v>
      </c>
      <c r="I4" s="97"/>
    </row>
    <row r="5" spans="1:9" x14ac:dyDescent="0.25">
      <c r="A5" s="133"/>
      <c r="B5" s="127" t="s">
        <v>237</v>
      </c>
      <c r="C5" s="127"/>
      <c r="D5" s="133"/>
      <c r="E5" s="97">
        <v>74000</v>
      </c>
      <c r="F5" s="96">
        <f t="shared" si="0"/>
        <v>9620</v>
      </c>
      <c r="G5" s="96">
        <f t="shared" si="1"/>
        <v>1539.2</v>
      </c>
      <c r="H5" s="96">
        <f>+(E5+F5+G5)*16</f>
        <v>1362547.2</v>
      </c>
      <c r="I5" s="97"/>
    </row>
    <row r="6" spans="1:9" x14ac:dyDescent="0.25">
      <c r="A6" s="133"/>
      <c r="B6" s="127" t="s">
        <v>3</v>
      </c>
      <c r="C6" s="127"/>
      <c r="D6" s="133"/>
      <c r="E6" s="97">
        <f>+E4+E5</f>
        <v>718350</v>
      </c>
      <c r="F6" s="96">
        <f t="shared" si="0"/>
        <v>93385.5</v>
      </c>
      <c r="G6" s="96">
        <f t="shared" si="1"/>
        <v>14941.68</v>
      </c>
      <c r="H6" s="96">
        <f>+H4+H5</f>
        <v>13226834.879999999</v>
      </c>
      <c r="I6" s="97"/>
    </row>
    <row r="7" spans="1:9" x14ac:dyDescent="0.25">
      <c r="A7" s="133"/>
      <c r="B7" s="98" t="s">
        <v>238</v>
      </c>
      <c r="C7" s="99">
        <v>0.12</v>
      </c>
      <c r="D7" s="133"/>
      <c r="E7" s="97">
        <f>+E4*0.12</f>
        <v>77322</v>
      </c>
      <c r="F7" s="96">
        <f t="shared" si="0"/>
        <v>10051.86</v>
      </c>
      <c r="G7" s="96">
        <f t="shared" si="1"/>
        <v>1608.2976000000001</v>
      </c>
      <c r="H7" s="97">
        <f t="shared" ref="H7:H15" si="2">+(E7+F7+G7)*16</f>
        <v>1423714.5216000001</v>
      </c>
      <c r="I7" s="100"/>
    </row>
    <row r="8" spans="1:9" x14ac:dyDescent="0.25">
      <c r="A8" s="133"/>
      <c r="B8" s="98" t="s">
        <v>239</v>
      </c>
      <c r="C8" s="99">
        <v>10.44</v>
      </c>
      <c r="D8" s="133"/>
      <c r="E8" s="97">
        <f>+E4*1.044/100</f>
        <v>6727.0140000000001</v>
      </c>
      <c r="F8" s="96">
        <f t="shared" si="0"/>
        <v>874.51182000000006</v>
      </c>
      <c r="G8" s="96">
        <f t="shared" si="1"/>
        <v>139.9218912</v>
      </c>
      <c r="H8" s="97">
        <f t="shared" si="2"/>
        <v>123863.16337919999</v>
      </c>
      <c r="I8" s="100"/>
    </row>
    <row r="9" spans="1:9" ht="27" x14ac:dyDescent="0.25">
      <c r="A9" s="133"/>
      <c r="B9" s="98" t="s">
        <v>240</v>
      </c>
      <c r="C9" s="99">
        <v>0.04</v>
      </c>
      <c r="D9" s="133"/>
      <c r="E9" s="97">
        <f>+E4*0.04</f>
        <v>25774</v>
      </c>
      <c r="F9" s="96">
        <f t="shared" si="0"/>
        <v>3350.62</v>
      </c>
      <c r="G9" s="96">
        <f t="shared" si="1"/>
        <v>536.0992</v>
      </c>
      <c r="H9" s="97">
        <f t="shared" si="2"/>
        <v>474571.50719999999</v>
      </c>
      <c r="I9" s="100"/>
    </row>
    <row r="10" spans="1:9" x14ac:dyDescent="0.25">
      <c r="A10" s="133"/>
      <c r="B10" s="98" t="s">
        <v>241</v>
      </c>
      <c r="C10" s="5" t="s">
        <v>4</v>
      </c>
      <c r="D10" s="133"/>
      <c r="E10" s="97">
        <f>+(E4+E5)*8.33/100</f>
        <v>59838.555</v>
      </c>
      <c r="F10" s="96">
        <f t="shared" si="0"/>
        <v>7779.0121499999996</v>
      </c>
      <c r="G10" s="96">
        <f t="shared" si="1"/>
        <v>1244.641944</v>
      </c>
      <c r="H10" s="97">
        <f t="shared" si="2"/>
        <v>1101795.3455040001</v>
      </c>
      <c r="I10" s="100"/>
    </row>
    <row r="11" spans="1:9" x14ac:dyDescent="0.25">
      <c r="A11" s="133"/>
      <c r="B11" s="98" t="s">
        <v>242</v>
      </c>
      <c r="C11" s="99">
        <v>0.01</v>
      </c>
      <c r="D11" s="133"/>
      <c r="E11" s="97">
        <f>+($E$4+$E$5)*1/100</f>
        <v>7183.5</v>
      </c>
      <c r="F11" s="96">
        <f t="shared" si="0"/>
        <v>933.85500000000002</v>
      </c>
      <c r="G11" s="96">
        <f t="shared" si="1"/>
        <v>149.41679999999999</v>
      </c>
      <c r="H11" s="97">
        <f t="shared" si="2"/>
        <v>132268.34880000001</v>
      </c>
      <c r="I11" s="100"/>
    </row>
    <row r="12" spans="1:9" x14ac:dyDescent="0.25">
      <c r="A12" s="133"/>
      <c r="B12" s="127" t="s">
        <v>243</v>
      </c>
      <c r="C12" s="129" t="s">
        <v>5</v>
      </c>
      <c r="D12" s="133"/>
      <c r="E12" s="125">
        <f>+($E$4+$E$5)*8.33/100</f>
        <v>59838.555</v>
      </c>
      <c r="F12" s="125">
        <f t="shared" si="0"/>
        <v>7779.0121499999996</v>
      </c>
      <c r="G12" s="125">
        <f t="shared" si="1"/>
        <v>1244.641944</v>
      </c>
      <c r="H12" s="125">
        <f t="shared" si="2"/>
        <v>1101795.3455040001</v>
      </c>
      <c r="I12" s="100"/>
    </row>
    <row r="13" spans="1:9" x14ac:dyDescent="0.25">
      <c r="A13" s="133"/>
      <c r="B13" s="127"/>
      <c r="C13" s="129"/>
      <c r="D13" s="133"/>
      <c r="E13" s="126"/>
      <c r="F13" s="126">
        <f>+E13*14/100</f>
        <v>0</v>
      </c>
      <c r="G13" s="126">
        <f t="shared" si="1"/>
        <v>0</v>
      </c>
      <c r="H13" s="126">
        <f t="shared" si="2"/>
        <v>0</v>
      </c>
      <c r="I13" s="100"/>
    </row>
    <row r="14" spans="1:9" x14ac:dyDescent="0.25">
      <c r="A14" s="133"/>
      <c r="B14" s="127" t="s">
        <v>244</v>
      </c>
      <c r="C14" s="129" t="s">
        <v>6</v>
      </c>
      <c r="D14" s="133"/>
      <c r="E14" s="125">
        <f>$E$4*4.17/100</f>
        <v>26869.395</v>
      </c>
      <c r="F14" s="125">
        <f>+E14*13/100</f>
        <v>3493.02135</v>
      </c>
      <c r="G14" s="125">
        <f t="shared" si="1"/>
        <v>558.88341600000001</v>
      </c>
      <c r="H14" s="125">
        <f t="shared" si="2"/>
        <v>494740.796256</v>
      </c>
      <c r="I14" s="100"/>
    </row>
    <row r="15" spans="1:9" x14ac:dyDescent="0.25">
      <c r="A15" s="133"/>
      <c r="B15" s="127"/>
      <c r="C15" s="129"/>
      <c r="D15" s="133"/>
      <c r="E15" s="126"/>
      <c r="F15" s="126">
        <f>+E15*14/100</f>
        <v>0</v>
      </c>
      <c r="G15" s="126">
        <f t="shared" si="1"/>
        <v>0</v>
      </c>
      <c r="H15" s="126">
        <f t="shared" si="2"/>
        <v>0</v>
      </c>
      <c r="I15" s="100"/>
    </row>
    <row r="16" spans="1:9" x14ac:dyDescent="0.25">
      <c r="A16" s="133"/>
      <c r="B16" s="119" t="s">
        <v>10</v>
      </c>
      <c r="C16" s="120"/>
      <c r="D16" s="120"/>
      <c r="E16" s="120"/>
      <c r="F16" s="120"/>
      <c r="G16" s="121"/>
      <c r="H16" s="101">
        <f>+H7+H8+H9+H10+H11+H12+H14+H6</f>
        <v>18079583.908243198</v>
      </c>
      <c r="I16" s="97"/>
    </row>
    <row r="17" spans="1:11" x14ac:dyDescent="0.25">
      <c r="A17" s="134" t="s">
        <v>9</v>
      </c>
      <c r="B17" s="127" t="s">
        <v>236</v>
      </c>
      <c r="C17" s="127"/>
      <c r="D17" s="133">
        <v>23</v>
      </c>
      <c r="E17" s="97">
        <f>+E4/2</f>
        <v>322175</v>
      </c>
      <c r="F17" s="96">
        <f>+E17*13/100</f>
        <v>41882.75</v>
      </c>
      <c r="G17" s="96">
        <f>+F17*16/100</f>
        <v>6701.24</v>
      </c>
      <c r="H17" s="96">
        <f>+(E17+F17+G17)*22</f>
        <v>8156697.7799999993</v>
      </c>
      <c r="I17" s="97"/>
    </row>
    <row r="18" spans="1:11" x14ac:dyDescent="0.25">
      <c r="A18" s="136"/>
      <c r="B18" s="127" t="s">
        <v>237</v>
      </c>
      <c r="C18" s="127"/>
      <c r="D18" s="133"/>
      <c r="E18" s="97">
        <v>74000</v>
      </c>
      <c r="F18" s="96">
        <f>+E18*13/100</f>
        <v>9620</v>
      </c>
      <c r="G18" s="96">
        <f>+F18*16/100</f>
        <v>1539.2</v>
      </c>
      <c r="H18" s="96">
        <f>+(E18+F18+G18)*22</f>
        <v>1873502.4</v>
      </c>
      <c r="I18" s="97"/>
    </row>
    <row r="19" spans="1:11" x14ac:dyDescent="0.25">
      <c r="A19" s="136"/>
      <c r="B19" s="127" t="s">
        <v>3</v>
      </c>
      <c r="C19" s="127"/>
      <c r="D19" s="133"/>
      <c r="E19" s="97">
        <f>+E17+E18</f>
        <v>396175</v>
      </c>
      <c r="F19" s="97">
        <f>+F17+F18</f>
        <v>51502.75</v>
      </c>
      <c r="G19" s="97">
        <f>+G17+G18</f>
        <v>8240.44</v>
      </c>
      <c r="H19" s="97">
        <f>+H17+H18</f>
        <v>10030200.18</v>
      </c>
      <c r="I19" s="97"/>
    </row>
    <row r="20" spans="1:11" x14ac:dyDescent="0.25">
      <c r="A20" s="136"/>
      <c r="B20" s="98" t="s">
        <v>238</v>
      </c>
      <c r="C20" s="99">
        <v>0.12</v>
      </c>
      <c r="D20" s="133"/>
      <c r="E20" s="97">
        <f>+$E$4*0.12</f>
        <v>77322</v>
      </c>
      <c r="F20" s="96">
        <f t="shared" ref="F20:F26" si="3">+E20*13/100</f>
        <v>10051.86</v>
      </c>
      <c r="G20" s="96">
        <f t="shared" ref="G20:G26" si="4">+F20*16/100</f>
        <v>1608.2976000000001</v>
      </c>
      <c r="H20" s="97">
        <f t="shared" ref="H20:H26" si="5">+(E20+F20+G20)*22</f>
        <v>1957607.4672000001</v>
      </c>
      <c r="I20" s="97"/>
    </row>
    <row r="21" spans="1:11" x14ac:dyDescent="0.25">
      <c r="A21" s="136"/>
      <c r="B21" s="98" t="s">
        <v>239</v>
      </c>
      <c r="C21" s="99">
        <v>10.44</v>
      </c>
      <c r="D21" s="133"/>
      <c r="E21" s="97">
        <f>+$E$4*1.044/100</f>
        <v>6727.0140000000001</v>
      </c>
      <c r="F21" s="96">
        <f t="shared" si="3"/>
        <v>874.51182000000006</v>
      </c>
      <c r="G21" s="96">
        <f t="shared" si="4"/>
        <v>139.9218912</v>
      </c>
      <c r="H21" s="97">
        <f t="shared" si="5"/>
        <v>170311.84964639999</v>
      </c>
      <c r="I21" s="97"/>
    </row>
    <row r="22" spans="1:11" ht="27" x14ac:dyDescent="0.25">
      <c r="A22" s="136"/>
      <c r="B22" s="98" t="s">
        <v>240</v>
      </c>
      <c r="C22" s="99">
        <v>0.04</v>
      </c>
      <c r="D22" s="133"/>
      <c r="E22" s="97">
        <f>+$E$4*0.04</f>
        <v>25774</v>
      </c>
      <c r="F22" s="96">
        <f t="shared" si="3"/>
        <v>3350.62</v>
      </c>
      <c r="G22" s="96">
        <f t="shared" si="4"/>
        <v>536.0992</v>
      </c>
      <c r="H22" s="97">
        <f t="shared" si="5"/>
        <v>652535.82239999995</v>
      </c>
      <c r="I22" s="97"/>
    </row>
    <row r="23" spans="1:11" x14ac:dyDescent="0.25">
      <c r="A23" s="136"/>
      <c r="B23" s="98" t="s">
        <v>241</v>
      </c>
      <c r="C23" s="5" t="s">
        <v>4</v>
      </c>
      <c r="D23" s="133"/>
      <c r="E23" s="97">
        <f>+(E17+E18)*8.33/100</f>
        <v>33001.377500000002</v>
      </c>
      <c r="F23" s="96">
        <f t="shared" si="3"/>
        <v>4290.179075</v>
      </c>
      <c r="G23" s="96">
        <f t="shared" si="4"/>
        <v>686.42865200000006</v>
      </c>
      <c r="H23" s="97">
        <f t="shared" si="5"/>
        <v>835515.67499400012</v>
      </c>
      <c r="I23" s="97"/>
    </row>
    <row r="24" spans="1:11" ht="67.5" customHeight="1" x14ac:dyDescent="0.25">
      <c r="A24" s="136"/>
      <c r="B24" s="98" t="s">
        <v>242</v>
      </c>
      <c r="C24" s="99">
        <v>0.01</v>
      </c>
      <c r="D24" s="133"/>
      <c r="E24" s="97">
        <f>+($E$17+$E$18)*1/100</f>
        <v>3961.75</v>
      </c>
      <c r="F24" s="96">
        <f t="shared" si="3"/>
        <v>515.02750000000003</v>
      </c>
      <c r="G24" s="96">
        <f t="shared" si="4"/>
        <v>82.40440000000001</v>
      </c>
      <c r="H24" s="97">
        <f t="shared" si="5"/>
        <v>100302.00180000001</v>
      </c>
      <c r="I24" s="44"/>
    </row>
    <row r="25" spans="1:11" ht="71.25" customHeight="1" x14ac:dyDescent="0.25">
      <c r="A25" s="136"/>
      <c r="B25" s="9" t="s">
        <v>243</v>
      </c>
      <c r="C25" s="5" t="s">
        <v>5</v>
      </c>
      <c r="D25" s="133"/>
      <c r="E25" s="102">
        <f>+($E$17+$E$18)*8.33/100</f>
        <v>33001.377500000002</v>
      </c>
      <c r="F25" s="102">
        <f t="shared" si="3"/>
        <v>4290.179075</v>
      </c>
      <c r="G25" s="102">
        <f t="shared" si="4"/>
        <v>686.42865200000006</v>
      </c>
      <c r="H25" s="102">
        <f t="shared" si="5"/>
        <v>835515.67499400012</v>
      </c>
      <c r="I25" s="44"/>
      <c r="J25" s="103"/>
      <c r="K25" s="103"/>
    </row>
    <row r="26" spans="1:11" ht="40.5" x14ac:dyDescent="0.25">
      <c r="A26" s="136"/>
      <c r="B26" s="9" t="s">
        <v>244</v>
      </c>
      <c r="C26" s="5" t="s">
        <v>6</v>
      </c>
      <c r="D26" s="133"/>
      <c r="E26" s="102">
        <f>$E$17*4.17/100</f>
        <v>13434.6975</v>
      </c>
      <c r="F26" s="102">
        <f t="shared" si="3"/>
        <v>1746.510675</v>
      </c>
      <c r="G26" s="102">
        <f t="shared" si="4"/>
        <v>279.44170800000001</v>
      </c>
      <c r="H26" s="102">
        <f t="shared" si="5"/>
        <v>340134.297426</v>
      </c>
      <c r="I26" s="104" t="s">
        <v>216</v>
      </c>
      <c r="J26" s="103"/>
    </row>
    <row r="27" spans="1:11" ht="54" x14ac:dyDescent="0.25">
      <c r="A27" s="137"/>
      <c r="B27" s="119" t="s">
        <v>3</v>
      </c>
      <c r="C27" s="120"/>
      <c r="D27" s="120"/>
      <c r="E27" s="120"/>
      <c r="F27" s="120"/>
      <c r="G27" s="121"/>
      <c r="H27" s="101">
        <f>+H19+H20+H21+H22+H23+H24+H25+H26</f>
        <v>14922122.9684604</v>
      </c>
      <c r="I27" s="104" t="s">
        <v>217</v>
      </c>
      <c r="J27" s="103"/>
    </row>
    <row r="28" spans="1:11" ht="24.75" customHeight="1" x14ac:dyDescent="0.25">
      <c r="A28" s="130" t="s">
        <v>245</v>
      </c>
      <c r="B28" s="127" t="s">
        <v>236</v>
      </c>
      <c r="C28" s="127"/>
      <c r="D28" s="133">
        <v>1</v>
      </c>
      <c r="E28" s="97">
        <f>+E17</f>
        <v>322175</v>
      </c>
      <c r="F28" s="96">
        <f>+E28*0.13</f>
        <v>41882.75</v>
      </c>
      <c r="G28" s="96">
        <v>0</v>
      </c>
      <c r="H28" s="96">
        <f>+(E28+F28+G28)*2</f>
        <v>728115.5</v>
      </c>
      <c r="I28" s="44"/>
    </row>
    <row r="29" spans="1:11" x14ac:dyDescent="0.25">
      <c r="A29" s="131"/>
      <c r="B29" s="127" t="s">
        <v>237</v>
      </c>
      <c r="C29" s="127"/>
      <c r="D29" s="133"/>
      <c r="E29" s="97">
        <v>74000</v>
      </c>
      <c r="F29" s="96">
        <f>+E29*0.13</f>
        <v>9620</v>
      </c>
      <c r="G29" s="96">
        <v>0</v>
      </c>
      <c r="H29" s="96">
        <f>+(E29+F29+G29)*2</f>
        <v>167240</v>
      </c>
      <c r="I29" s="97"/>
    </row>
    <row r="30" spans="1:11" ht="24" customHeight="1" x14ac:dyDescent="0.25">
      <c r="A30" s="131"/>
      <c r="B30" s="127" t="s">
        <v>3</v>
      </c>
      <c r="C30" s="127"/>
      <c r="D30" s="133"/>
      <c r="E30" s="97">
        <f>+E28+E29</f>
        <v>396175</v>
      </c>
      <c r="F30" s="97">
        <f>+F28+F29</f>
        <v>51502.75</v>
      </c>
      <c r="G30" s="96">
        <v>0</v>
      </c>
      <c r="H30" s="97">
        <f>+H28+H29</f>
        <v>895355.5</v>
      </c>
      <c r="I30" s="97"/>
    </row>
    <row r="31" spans="1:11" x14ac:dyDescent="0.25">
      <c r="A31" s="131"/>
      <c r="B31" s="98" t="s">
        <v>238</v>
      </c>
      <c r="C31" s="99">
        <v>0.12</v>
      </c>
      <c r="D31" s="133"/>
      <c r="E31" s="97">
        <f>+$E$4*0.12</f>
        <v>77322</v>
      </c>
      <c r="F31" s="96">
        <f t="shared" ref="F31:F37" si="6">+E31*0.13</f>
        <v>10051.86</v>
      </c>
      <c r="G31" s="96">
        <v>0</v>
      </c>
      <c r="H31" s="97">
        <f t="shared" ref="H31:H37" si="7">+(E31+F31+G31)*2</f>
        <v>174747.72</v>
      </c>
      <c r="I31" s="97"/>
    </row>
    <row r="32" spans="1:11" x14ac:dyDescent="0.25">
      <c r="A32" s="131"/>
      <c r="B32" s="98" t="s">
        <v>239</v>
      </c>
      <c r="C32" s="99">
        <v>10.44</v>
      </c>
      <c r="D32" s="133"/>
      <c r="E32" s="97">
        <f>+$E$4*1.044/100</f>
        <v>6727.0140000000001</v>
      </c>
      <c r="F32" s="96">
        <f t="shared" si="6"/>
        <v>874.51182000000006</v>
      </c>
      <c r="G32" s="96">
        <v>0</v>
      </c>
      <c r="H32" s="97">
        <f t="shared" si="7"/>
        <v>15203.05164</v>
      </c>
      <c r="I32" s="105"/>
    </row>
    <row r="33" spans="1:9" ht="24" customHeight="1" x14ac:dyDescent="0.25">
      <c r="A33" s="131"/>
      <c r="B33" s="98" t="s">
        <v>240</v>
      </c>
      <c r="C33" s="99">
        <v>0.04</v>
      </c>
      <c r="D33" s="133"/>
      <c r="E33" s="97">
        <f>+$E$4*0.04</f>
        <v>25774</v>
      </c>
      <c r="F33" s="96">
        <f t="shared" si="6"/>
        <v>3350.62</v>
      </c>
      <c r="G33" s="96">
        <v>0</v>
      </c>
      <c r="H33" s="97">
        <f t="shared" si="7"/>
        <v>58249.24</v>
      </c>
      <c r="I33" s="97"/>
    </row>
    <row r="34" spans="1:9" x14ac:dyDescent="0.25">
      <c r="A34" s="131"/>
      <c r="B34" s="98" t="s">
        <v>241</v>
      </c>
      <c r="C34" s="5" t="s">
        <v>4</v>
      </c>
      <c r="D34" s="133"/>
      <c r="E34" s="97">
        <f>+(E28+E29)*8.33/100</f>
        <v>33001.377500000002</v>
      </c>
      <c r="F34" s="96">
        <f t="shared" si="6"/>
        <v>4290.179075</v>
      </c>
      <c r="G34" s="96">
        <v>0</v>
      </c>
      <c r="H34" s="97">
        <f t="shared" si="7"/>
        <v>74583.113150000005</v>
      </c>
      <c r="I34" s="96"/>
    </row>
    <row r="35" spans="1:9" ht="24" customHeight="1" x14ac:dyDescent="0.25">
      <c r="A35" s="131"/>
      <c r="B35" s="98" t="s">
        <v>242</v>
      </c>
      <c r="C35" s="99">
        <v>0.01</v>
      </c>
      <c r="D35" s="133"/>
      <c r="E35" s="97">
        <f>+($E$17+$E$18)*1/100</f>
        <v>3961.75</v>
      </c>
      <c r="F35" s="96">
        <f t="shared" si="6"/>
        <v>515.02750000000003</v>
      </c>
      <c r="G35" s="96">
        <v>0</v>
      </c>
      <c r="H35" s="97">
        <f t="shared" si="7"/>
        <v>8953.5550000000003</v>
      </c>
      <c r="I35" s="96"/>
    </row>
    <row r="36" spans="1:9" ht="22.5" customHeight="1" x14ac:dyDescent="0.25">
      <c r="A36" s="131"/>
      <c r="B36" s="9" t="s">
        <v>243</v>
      </c>
      <c r="C36" s="5" t="s">
        <v>5</v>
      </c>
      <c r="D36" s="133"/>
      <c r="E36" s="102">
        <f>+($E$17+$E$18)*8.33/100</f>
        <v>33001.377500000002</v>
      </c>
      <c r="F36" s="102">
        <f t="shared" si="6"/>
        <v>4290.179075</v>
      </c>
      <c r="G36" s="96">
        <v>0</v>
      </c>
      <c r="H36" s="102">
        <f t="shared" si="7"/>
        <v>74583.113150000005</v>
      </c>
      <c r="I36" s="106"/>
    </row>
    <row r="37" spans="1:9" x14ac:dyDescent="0.25">
      <c r="A37" s="131"/>
      <c r="B37" s="9" t="s">
        <v>244</v>
      </c>
      <c r="C37" s="5" t="s">
        <v>6</v>
      </c>
      <c r="D37" s="133"/>
      <c r="E37" s="102">
        <f>$E$28*4.17/100</f>
        <v>13434.6975</v>
      </c>
      <c r="F37" s="102">
        <f t="shared" si="6"/>
        <v>1746.510675</v>
      </c>
      <c r="G37" s="96">
        <v>0</v>
      </c>
      <c r="H37" s="102">
        <f t="shared" si="7"/>
        <v>30362.41635</v>
      </c>
      <c r="I37" s="106"/>
    </row>
    <row r="38" spans="1:9" ht="36.75" customHeight="1" x14ac:dyDescent="0.25">
      <c r="A38" s="132"/>
      <c r="B38" s="119" t="s">
        <v>3</v>
      </c>
      <c r="C38" s="120"/>
      <c r="D38" s="120"/>
      <c r="E38" s="120"/>
      <c r="F38" s="120"/>
      <c r="G38" s="121"/>
      <c r="H38" s="101">
        <f>+H30+H31+H32+H33+H34+H35+H36+H37</f>
        <v>1332037.7092900001</v>
      </c>
      <c r="I38" s="106"/>
    </row>
    <row r="39" spans="1:9" x14ac:dyDescent="0.25">
      <c r="A39" s="128" t="s">
        <v>1</v>
      </c>
      <c r="B39" s="127" t="s">
        <v>236</v>
      </c>
      <c r="C39" s="127"/>
      <c r="D39" s="122">
        <v>1</v>
      </c>
      <c r="E39" s="101">
        <v>1900000</v>
      </c>
      <c r="F39" s="101">
        <f>+E39*0.13</f>
        <v>247000</v>
      </c>
      <c r="G39" s="101">
        <f>+F39*0.16</f>
        <v>39520</v>
      </c>
      <c r="H39" s="101">
        <f>+E39+F39+G39</f>
        <v>2186520</v>
      </c>
      <c r="I39" s="106"/>
    </row>
    <row r="40" spans="1:9" x14ac:dyDescent="0.25">
      <c r="A40" s="128"/>
      <c r="B40" s="127" t="s">
        <v>237</v>
      </c>
      <c r="C40" s="127"/>
      <c r="D40" s="123"/>
      <c r="E40" s="101">
        <v>0</v>
      </c>
      <c r="F40" s="101">
        <f>+E40*0.13</f>
        <v>0</v>
      </c>
      <c r="G40" s="101">
        <f>+F40*0.16</f>
        <v>0</v>
      </c>
      <c r="H40" s="101">
        <f>+E40+F40+G40</f>
        <v>0</v>
      </c>
      <c r="I40" s="106"/>
    </row>
    <row r="41" spans="1:9" x14ac:dyDescent="0.25">
      <c r="A41" s="128"/>
      <c r="B41" s="127" t="s">
        <v>3</v>
      </c>
      <c r="C41" s="127"/>
      <c r="D41" s="123"/>
      <c r="E41" s="101">
        <f>+E39+E40</f>
        <v>1900000</v>
      </c>
      <c r="F41" s="101">
        <f>+F39+F40</f>
        <v>247000</v>
      </c>
      <c r="G41" s="101">
        <f>+G39+G40</f>
        <v>39520</v>
      </c>
      <c r="H41" s="101">
        <f>+H39+H40</f>
        <v>2186520</v>
      </c>
      <c r="I41" s="106"/>
    </row>
    <row r="42" spans="1:9" x14ac:dyDescent="0.25">
      <c r="A42" s="128"/>
      <c r="B42" s="98" t="s">
        <v>238</v>
      </c>
      <c r="C42" s="99">
        <v>0.12</v>
      </c>
      <c r="D42" s="123"/>
      <c r="E42" s="97">
        <f>+E39*0.12</f>
        <v>228000</v>
      </c>
      <c r="F42" s="96">
        <f t="shared" ref="F42:F47" si="8">+E42*0.13</f>
        <v>29640</v>
      </c>
      <c r="G42" s="101">
        <f t="shared" ref="G42:G47" si="9">+F42*0.16</f>
        <v>4742.4000000000005</v>
      </c>
      <c r="H42" s="101">
        <f t="shared" ref="H42:H49" si="10">+E42+F42+G42</f>
        <v>262382.40000000002</v>
      </c>
      <c r="I42" s="106"/>
    </row>
    <row r="43" spans="1:9" x14ac:dyDescent="0.25">
      <c r="A43" s="128"/>
      <c r="B43" s="98" t="s">
        <v>239</v>
      </c>
      <c r="C43" s="99">
        <v>10.44</v>
      </c>
      <c r="D43" s="123"/>
      <c r="E43" s="97">
        <f>+E39*1.044/100</f>
        <v>19836</v>
      </c>
      <c r="F43" s="96">
        <f t="shared" si="8"/>
        <v>2578.6800000000003</v>
      </c>
      <c r="G43" s="101">
        <f t="shared" si="9"/>
        <v>412.58880000000005</v>
      </c>
      <c r="H43" s="101">
        <f t="shared" si="10"/>
        <v>22827.268800000002</v>
      </c>
      <c r="I43" s="106"/>
    </row>
    <row r="44" spans="1:9" ht="24" customHeight="1" x14ac:dyDescent="0.25">
      <c r="A44" s="128"/>
      <c r="B44" s="98" t="s">
        <v>240</v>
      </c>
      <c r="C44" s="99">
        <v>0.04</v>
      </c>
      <c r="D44" s="123"/>
      <c r="E44" s="97">
        <f>+E39*0.04</f>
        <v>76000</v>
      </c>
      <c r="F44" s="96">
        <f t="shared" si="8"/>
        <v>9880</v>
      </c>
      <c r="G44" s="101">
        <f t="shared" si="9"/>
        <v>1580.8</v>
      </c>
      <c r="H44" s="101">
        <f t="shared" si="10"/>
        <v>87460.800000000003</v>
      </c>
      <c r="I44" s="106"/>
    </row>
    <row r="45" spans="1:9" x14ac:dyDescent="0.25">
      <c r="A45" s="128"/>
      <c r="B45" s="98" t="s">
        <v>241</v>
      </c>
      <c r="C45" s="5" t="s">
        <v>4</v>
      </c>
      <c r="D45" s="123"/>
      <c r="E45" s="101">
        <f>+($E$39+$E$40)*8.33/100</f>
        <v>158270</v>
      </c>
      <c r="F45" s="96">
        <f t="shared" si="8"/>
        <v>20575.100000000002</v>
      </c>
      <c r="G45" s="101">
        <f t="shared" si="9"/>
        <v>3292.0160000000005</v>
      </c>
      <c r="H45" s="101">
        <f t="shared" si="10"/>
        <v>182137.11600000001</v>
      </c>
      <c r="I45" s="106"/>
    </row>
    <row r="46" spans="1:9" x14ac:dyDescent="0.25">
      <c r="A46" s="128"/>
      <c r="B46" s="98" t="s">
        <v>242</v>
      </c>
      <c r="C46" s="99">
        <v>0.01</v>
      </c>
      <c r="D46" s="123"/>
      <c r="E46" s="101">
        <f>+($E$39+$E$40)*1/100</f>
        <v>19000</v>
      </c>
      <c r="F46" s="96">
        <f t="shared" si="8"/>
        <v>2470</v>
      </c>
      <c r="G46" s="101">
        <f t="shared" si="9"/>
        <v>395.2</v>
      </c>
      <c r="H46" s="101">
        <f t="shared" si="10"/>
        <v>21865.200000000001</v>
      </c>
      <c r="I46" s="106"/>
    </row>
    <row r="47" spans="1:9" x14ac:dyDescent="0.25">
      <c r="A47" s="128"/>
      <c r="B47" s="127" t="s">
        <v>243</v>
      </c>
      <c r="C47" s="129" t="s">
        <v>5</v>
      </c>
      <c r="D47" s="123"/>
      <c r="E47" s="111">
        <f>+(E39+E40)*8.33/100</f>
        <v>158270</v>
      </c>
      <c r="F47" s="111">
        <f t="shared" si="8"/>
        <v>20575.100000000002</v>
      </c>
      <c r="G47" s="111">
        <f t="shared" si="9"/>
        <v>3292.0160000000005</v>
      </c>
      <c r="H47" s="111">
        <f t="shared" si="10"/>
        <v>182137.11600000001</v>
      </c>
      <c r="I47" s="106"/>
    </row>
    <row r="48" spans="1:9" x14ac:dyDescent="0.25">
      <c r="A48" s="128"/>
      <c r="B48" s="127"/>
      <c r="C48" s="129"/>
      <c r="D48" s="123"/>
      <c r="E48" s="112"/>
      <c r="F48" s="112">
        <f>+E48*14/100</f>
        <v>0</v>
      </c>
      <c r="G48" s="112"/>
      <c r="H48" s="112">
        <f t="shared" si="10"/>
        <v>0</v>
      </c>
      <c r="I48" s="106"/>
    </row>
    <row r="49" spans="1:9" ht="30.75" customHeight="1" x14ac:dyDescent="0.25">
      <c r="A49" s="128"/>
      <c r="B49" s="9" t="s">
        <v>244</v>
      </c>
      <c r="C49" s="5" t="s">
        <v>6</v>
      </c>
      <c r="D49" s="123"/>
      <c r="E49" s="101">
        <f>+E39*4.17/100</f>
        <v>79230</v>
      </c>
      <c r="F49" s="96">
        <f>+E49*13/100</f>
        <v>10299.9</v>
      </c>
      <c r="G49" s="101">
        <f>+F49*0.16</f>
        <v>1647.9839999999999</v>
      </c>
      <c r="H49" s="101">
        <f t="shared" si="10"/>
        <v>91177.883999999991</v>
      </c>
      <c r="I49" s="106"/>
    </row>
    <row r="50" spans="1:9" x14ac:dyDescent="0.25">
      <c r="A50" s="128"/>
      <c r="B50" s="119" t="s">
        <v>10</v>
      </c>
      <c r="C50" s="120"/>
      <c r="D50" s="120"/>
      <c r="E50" s="120"/>
      <c r="F50" s="120"/>
      <c r="G50" s="121"/>
      <c r="H50" s="101">
        <f>+H41+H42+H43+H44+H45+H46+H47+H48+H49</f>
        <v>3036507.7848</v>
      </c>
      <c r="I50" s="106"/>
    </row>
    <row r="51" spans="1:9" ht="16.5" customHeight="1" x14ac:dyDescent="0.25">
      <c r="A51" s="115" t="s">
        <v>11</v>
      </c>
      <c r="B51" s="127" t="s">
        <v>236</v>
      </c>
      <c r="C51" s="127"/>
      <c r="D51" s="122">
        <v>1</v>
      </c>
      <c r="E51" s="101">
        <v>1550000</v>
      </c>
      <c r="F51" s="101">
        <f>+E51*0.13</f>
        <v>201500</v>
      </c>
      <c r="G51" s="101">
        <f>+F51*0.16</f>
        <v>32240</v>
      </c>
      <c r="H51" s="101">
        <f>+E51+F51+G51</f>
        <v>1783740</v>
      </c>
      <c r="I51" s="106"/>
    </row>
    <row r="52" spans="1:9" x14ac:dyDescent="0.25">
      <c r="A52" s="115"/>
      <c r="B52" s="127" t="s">
        <v>237</v>
      </c>
      <c r="C52" s="127"/>
      <c r="D52" s="123"/>
      <c r="E52" s="101">
        <v>0</v>
      </c>
      <c r="F52" s="101">
        <f>+E52*0.13</f>
        <v>0</v>
      </c>
      <c r="G52" s="101">
        <f>+F52*0.16</f>
        <v>0</v>
      </c>
      <c r="H52" s="101">
        <f>+E52+F52+G52</f>
        <v>0</v>
      </c>
      <c r="I52" s="106"/>
    </row>
    <row r="53" spans="1:9" ht="15" customHeight="1" x14ac:dyDescent="0.25">
      <c r="A53" s="115"/>
      <c r="B53" s="127" t="s">
        <v>3</v>
      </c>
      <c r="C53" s="127"/>
      <c r="D53" s="123"/>
      <c r="E53" s="101">
        <f>+E51+E52</f>
        <v>1550000</v>
      </c>
      <c r="F53" s="101">
        <f>+F51+F52</f>
        <v>201500</v>
      </c>
      <c r="G53" s="101">
        <f>+G51+G52</f>
        <v>32240</v>
      </c>
      <c r="H53" s="101">
        <f>+H51+H52</f>
        <v>1783740</v>
      </c>
      <c r="I53" s="106"/>
    </row>
    <row r="54" spans="1:9" x14ac:dyDescent="0.25">
      <c r="A54" s="115"/>
      <c r="B54" s="98" t="s">
        <v>238</v>
      </c>
      <c r="C54" s="99">
        <v>0.12</v>
      </c>
      <c r="D54" s="123"/>
      <c r="E54" s="97">
        <f>+E51*0.12</f>
        <v>186000</v>
      </c>
      <c r="F54" s="96">
        <f t="shared" ref="F54:F59" si="11">+E54*0.13</f>
        <v>24180</v>
      </c>
      <c r="G54" s="101">
        <f t="shared" ref="G54:G59" si="12">+F54*0.16</f>
        <v>3868.8</v>
      </c>
      <c r="H54" s="101">
        <f t="shared" ref="H54:H61" si="13">+E54+F54+G54</f>
        <v>214048.8</v>
      </c>
      <c r="I54" s="106"/>
    </row>
    <row r="55" spans="1:9" x14ac:dyDescent="0.25">
      <c r="A55" s="115"/>
      <c r="B55" s="98" t="s">
        <v>239</v>
      </c>
      <c r="C55" s="99">
        <v>10.44</v>
      </c>
      <c r="D55" s="123"/>
      <c r="E55" s="97">
        <f>+E51*1.044/100</f>
        <v>16182</v>
      </c>
      <c r="F55" s="96">
        <f t="shared" si="11"/>
        <v>2103.66</v>
      </c>
      <c r="G55" s="101">
        <f t="shared" si="12"/>
        <v>336.5856</v>
      </c>
      <c r="H55" s="101">
        <f t="shared" si="13"/>
        <v>18622.245599999998</v>
      </c>
      <c r="I55" s="106"/>
    </row>
    <row r="56" spans="1:9" ht="27" x14ac:dyDescent="0.25">
      <c r="A56" s="115"/>
      <c r="B56" s="98" t="s">
        <v>240</v>
      </c>
      <c r="C56" s="99">
        <v>0.04</v>
      </c>
      <c r="D56" s="123"/>
      <c r="E56" s="97">
        <f>+E51*0.04</f>
        <v>62000</v>
      </c>
      <c r="F56" s="96">
        <f t="shared" si="11"/>
        <v>8060</v>
      </c>
      <c r="G56" s="101">
        <f t="shared" si="12"/>
        <v>1289.6000000000001</v>
      </c>
      <c r="H56" s="101">
        <f t="shared" si="13"/>
        <v>71349.600000000006</v>
      </c>
      <c r="I56" s="106"/>
    </row>
    <row r="57" spans="1:9" x14ac:dyDescent="0.25">
      <c r="A57" s="115"/>
      <c r="B57" s="98" t="s">
        <v>241</v>
      </c>
      <c r="C57" s="5" t="s">
        <v>4</v>
      </c>
      <c r="D57" s="123"/>
      <c r="E57" s="101">
        <f>+($E$51+$E$52)*8.33/100</f>
        <v>129115</v>
      </c>
      <c r="F57" s="96">
        <f t="shared" si="11"/>
        <v>16784.95</v>
      </c>
      <c r="G57" s="101">
        <f t="shared" si="12"/>
        <v>2685.5920000000001</v>
      </c>
      <c r="H57" s="101">
        <f t="shared" si="13"/>
        <v>148585.54200000002</v>
      </c>
      <c r="I57" s="106"/>
    </row>
    <row r="58" spans="1:9" ht="30" customHeight="1" x14ac:dyDescent="0.25">
      <c r="A58" s="115"/>
      <c r="B58" s="98" t="s">
        <v>242</v>
      </c>
      <c r="C58" s="99">
        <v>0.01</v>
      </c>
      <c r="D58" s="123"/>
      <c r="E58" s="101">
        <f>+($E$51+$E$52)*1/100</f>
        <v>15500</v>
      </c>
      <c r="F58" s="96">
        <f t="shared" si="11"/>
        <v>2015</v>
      </c>
      <c r="G58" s="101">
        <f t="shared" si="12"/>
        <v>322.40000000000003</v>
      </c>
      <c r="H58" s="101">
        <f t="shared" si="13"/>
        <v>17837.400000000001</v>
      </c>
      <c r="I58" s="106"/>
    </row>
    <row r="59" spans="1:9" x14ac:dyDescent="0.25">
      <c r="A59" s="115"/>
      <c r="B59" s="127" t="s">
        <v>243</v>
      </c>
      <c r="C59" s="129" t="s">
        <v>5</v>
      </c>
      <c r="D59" s="123"/>
      <c r="E59" s="111">
        <f>+(E51+E52)*8.33/100</f>
        <v>129115</v>
      </c>
      <c r="F59" s="111">
        <f t="shared" si="11"/>
        <v>16784.95</v>
      </c>
      <c r="G59" s="111">
        <f t="shared" si="12"/>
        <v>2685.5920000000001</v>
      </c>
      <c r="H59" s="111">
        <f t="shared" si="13"/>
        <v>148585.54200000002</v>
      </c>
      <c r="I59" s="106"/>
    </row>
    <row r="60" spans="1:9" x14ac:dyDescent="0.25">
      <c r="A60" s="115"/>
      <c r="B60" s="127"/>
      <c r="C60" s="129"/>
      <c r="D60" s="123"/>
      <c r="E60" s="112"/>
      <c r="F60" s="112">
        <f>+E60*14/100</f>
        <v>0</v>
      </c>
      <c r="G60" s="112"/>
      <c r="H60" s="112">
        <f t="shared" si="13"/>
        <v>0</v>
      </c>
      <c r="I60" s="106"/>
    </row>
    <row r="61" spans="1:9" x14ac:dyDescent="0.25">
      <c r="A61" s="115"/>
      <c r="B61" s="127" t="s">
        <v>244</v>
      </c>
      <c r="C61" s="129" t="s">
        <v>6</v>
      </c>
      <c r="D61" s="123"/>
      <c r="E61" s="111">
        <f>+E51*4.17/100</f>
        <v>64635</v>
      </c>
      <c r="F61" s="111">
        <f>+E61*0.13</f>
        <v>8402.5500000000011</v>
      </c>
      <c r="G61" s="111">
        <f>+F61*0.16</f>
        <v>1344.4080000000001</v>
      </c>
      <c r="H61" s="111">
        <f t="shared" si="13"/>
        <v>74381.957999999999</v>
      </c>
      <c r="I61" s="106"/>
    </row>
    <row r="62" spans="1:9" x14ac:dyDescent="0.25">
      <c r="A62" s="115"/>
      <c r="B62" s="127"/>
      <c r="C62" s="129"/>
      <c r="D62" s="124"/>
      <c r="E62" s="112"/>
      <c r="F62" s="112"/>
      <c r="G62" s="112"/>
      <c r="H62" s="112"/>
      <c r="I62" s="106"/>
    </row>
    <row r="63" spans="1:9" x14ac:dyDescent="0.25">
      <c r="A63" s="115"/>
      <c r="B63" s="119" t="s">
        <v>10</v>
      </c>
      <c r="C63" s="120"/>
      <c r="D63" s="120"/>
      <c r="E63" s="120"/>
      <c r="F63" s="120"/>
      <c r="G63" s="121"/>
      <c r="H63" s="101">
        <f>+H61+H59+H58+H57+H56+H55+H54+H53</f>
        <v>2477151.0876000002</v>
      </c>
      <c r="I63" s="106"/>
    </row>
    <row r="64" spans="1:9" x14ac:dyDescent="0.25">
      <c r="A64" s="115" t="s">
        <v>12</v>
      </c>
      <c r="B64" s="127" t="s">
        <v>236</v>
      </c>
      <c r="C64" s="127"/>
      <c r="D64" s="122">
        <v>1</v>
      </c>
      <c r="E64" s="101">
        <v>1062972</v>
      </c>
      <c r="F64" s="101">
        <f>+E64*0.13</f>
        <v>138186.36000000002</v>
      </c>
      <c r="G64" s="101">
        <f>+F64*0.16</f>
        <v>22109.817600000002</v>
      </c>
      <c r="H64" s="101">
        <f>+E64+F64+G64</f>
        <v>1223268.1776000001</v>
      </c>
      <c r="I64" s="106"/>
    </row>
    <row r="65" spans="1:10" x14ac:dyDescent="0.25">
      <c r="A65" s="115"/>
      <c r="B65" s="127" t="s">
        <v>237</v>
      </c>
      <c r="C65" s="127"/>
      <c r="D65" s="123"/>
      <c r="E65" s="101">
        <v>74000</v>
      </c>
      <c r="F65" s="101">
        <f>+E65*0.13</f>
        <v>9620</v>
      </c>
      <c r="G65" s="101">
        <f>+F65*0.16</f>
        <v>1539.2</v>
      </c>
      <c r="H65" s="101">
        <f>+E65+F65+G65</f>
        <v>85159.2</v>
      </c>
      <c r="I65" s="106"/>
    </row>
    <row r="66" spans="1:10" x14ac:dyDescent="0.25">
      <c r="A66" s="115"/>
      <c r="B66" s="127" t="s">
        <v>3</v>
      </c>
      <c r="C66" s="127"/>
      <c r="D66" s="123"/>
      <c r="E66" s="101">
        <f>+E64+E65</f>
        <v>1136972</v>
      </c>
      <c r="F66" s="101">
        <f>+F64+F65</f>
        <v>147806.36000000002</v>
      </c>
      <c r="G66" s="101">
        <f>+G64+G65</f>
        <v>23649.017600000003</v>
      </c>
      <c r="H66" s="101">
        <f>+H64+H65</f>
        <v>1308427.3776</v>
      </c>
      <c r="I66" s="106"/>
    </row>
    <row r="67" spans="1:10" x14ac:dyDescent="0.25">
      <c r="A67" s="115"/>
      <c r="B67" s="98" t="s">
        <v>238</v>
      </c>
      <c r="C67" s="99">
        <v>0.12</v>
      </c>
      <c r="D67" s="123"/>
      <c r="E67" s="97">
        <f>+E64*0.12</f>
        <v>127556.64</v>
      </c>
      <c r="F67" s="96">
        <f t="shared" ref="F67:F72" si="14">+E67*0.13</f>
        <v>16582.3632</v>
      </c>
      <c r="G67" s="101">
        <f t="shared" ref="G67:G72" si="15">+F67*0.16</f>
        <v>2653.1781120000001</v>
      </c>
      <c r="H67" s="101">
        <f t="shared" ref="H67:H74" si="16">+E67+F67+G67</f>
        <v>146792.181312</v>
      </c>
      <c r="I67" s="106"/>
    </row>
    <row r="68" spans="1:10" x14ac:dyDescent="0.25">
      <c r="A68" s="115"/>
      <c r="B68" s="98" t="s">
        <v>239</v>
      </c>
      <c r="C68" s="99">
        <v>10.44</v>
      </c>
      <c r="D68" s="123"/>
      <c r="E68" s="97">
        <f>+E64*1.044/100</f>
        <v>11097.427680000001</v>
      </c>
      <c r="F68" s="96">
        <f t="shared" si="14"/>
        <v>1442.6655984000001</v>
      </c>
      <c r="G68" s="101">
        <f t="shared" si="15"/>
        <v>230.82649574400003</v>
      </c>
      <c r="H68" s="101">
        <f t="shared" si="16"/>
        <v>12770.919774144002</v>
      </c>
      <c r="I68" s="106"/>
    </row>
    <row r="69" spans="1:10" ht="27" x14ac:dyDescent="0.25">
      <c r="A69" s="115"/>
      <c r="B69" s="98" t="s">
        <v>240</v>
      </c>
      <c r="C69" s="99">
        <v>0.04</v>
      </c>
      <c r="D69" s="123"/>
      <c r="E69" s="97">
        <f>+E64*0.04</f>
        <v>42518.879999999997</v>
      </c>
      <c r="F69" s="96">
        <f t="shared" si="14"/>
        <v>5527.4543999999996</v>
      </c>
      <c r="G69" s="101">
        <f t="shared" si="15"/>
        <v>884.39270399999998</v>
      </c>
      <c r="H69" s="101">
        <f t="shared" si="16"/>
        <v>48930.727103999998</v>
      </c>
      <c r="I69" s="106"/>
    </row>
    <row r="70" spans="1:10" ht="54" x14ac:dyDescent="0.25">
      <c r="A70" s="115"/>
      <c r="B70" s="98" t="s">
        <v>241</v>
      </c>
      <c r="C70" s="5" t="s">
        <v>4</v>
      </c>
      <c r="D70" s="123"/>
      <c r="E70" s="101">
        <f>+($E$64+$E$65)*8.33/100</f>
        <v>94709.767599999992</v>
      </c>
      <c r="F70" s="96">
        <f t="shared" si="14"/>
        <v>12312.269788</v>
      </c>
      <c r="G70" s="101">
        <f t="shared" si="15"/>
        <v>1969.9631660800001</v>
      </c>
      <c r="H70" s="101">
        <f t="shared" si="16"/>
        <v>108992.00055407999</v>
      </c>
      <c r="I70" s="104" t="s">
        <v>221</v>
      </c>
      <c r="J70" s="103"/>
    </row>
    <row r="71" spans="1:10" ht="40.5" x14ac:dyDescent="0.25">
      <c r="A71" s="115"/>
      <c r="B71" s="98" t="s">
        <v>242</v>
      </c>
      <c r="C71" s="99">
        <v>0.01</v>
      </c>
      <c r="D71" s="123"/>
      <c r="E71" s="101">
        <f>+($E$64+$E$65)*1/100</f>
        <v>11369.72</v>
      </c>
      <c r="F71" s="96">
        <f t="shared" si="14"/>
        <v>1478.0636</v>
      </c>
      <c r="G71" s="101">
        <f t="shared" si="15"/>
        <v>236.49017599999999</v>
      </c>
      <c r="H71" s="101">
        <f t="shared" si="16"/>
        <v>13084.273775999998</v>
      </c>
      <c r="I71" s="104" t="s">
        <v>222</v>
      </c>
      <c r="J71" s="103"/>
    </row>
    <row r="72" spans="1:10" x14ac:dyDescent="0.25">
      <c r="A72" s="115"/>
      <c r="B72" s="127" t="s">
        <v>243</v>
      </c>
      <c r="C72" s="129" t="s">
        <v>5</v>
      </c>
      <c r="D72" s="123"/>
      <c r="E72" s="111">
        <f>+(E64+E65)*8.33/100</f>
        <v>94709.767599999992</v>
      </c>
      <c r="F72" s="111">
        <f t="shared" si="14"/>
        <v>12312.269788</v>
      </c>
      <c r="G72" s="111">
        <f t="shared" si="15"/>
        <v>1969.9631660800001</v>
      </c>
      <c r="H72" s="111">
        <f t="shared" si="16"/>
        <v>108992.00055407999</v>
      </c>
      <c r="I72" s="44"/>
    </row>
    <row r="73" spans="1:10" ht="54" x14ac:dyDescent="0.25">
      <c r="A73" s="115"/>
      <c r="B73" s="127"/>
      <c r="C73" s="129"/>
      <c r="D73" s="123"/>
      <c r="E73" s="112"/>
      <c r="F73" s="112">
        <f>+E73*14/100</f>
        <v>0</v>
      </c>
      <c r="G73" s="112"/>
      <c r="H73" s="112">
        <f t="shared" si="16"/>
        <v>0</v>
      </c>
      <c r="I73" s="104" t="s">
        <v>221</v>
      </c>
      <c r="J73" s="103"/>
    </row>
    <row r="74" spans="1:10" x14ac:dyDescent="0.25">
      <c r="A74" s="115"/>
      <c r="B74" s="127" t="s">
        <v>244</v>
      </c>
      <c r="C74" s="129" t="s">
        <v>6</v>
      </c>
      <c r="D74" s="123"/>
      <c r="E74" s="111">
        <f>+E64*4.17/100</f>
        <v>44325.932400000005</v>
      </c>
      <c r="F74" s="111">
        <f>+E74*0.13</f>
        <v>5762.3712120000009</v>
      </c>
      <c r="G74" s="111">
        <f>+F74*0.16</f>
        <v>921.97939392000012</v>
      </c>
      <c r="H74" s="111">
        <f t="shared" si="16"/>
        <v>51010.283005920006</v>
      </c>
      <c r="I74" s="44"/>
    </row>
    <row r="75" spans="1:10" x14ac:dyDescent="0.25">
      <c r="A75" s="115"/>
      <c r="B75" s="127"/>
      <c r="C75" s="129"/>
      <c r="D75" s="124"/>
      <c r="E75" s="112"/>
      <c r="F75" s="112"/>
      <c r="G75" s="112"/>
      <c r="H75" s="112"/>
      <c r="I75" s="106"/>
    </row>
    <row r="76" spans="1:10" ht="54" x14ac:dyDescent="0.25">
      <c r="A76" s="115"/>
      <c r="B76" s="119" t="s">
        <v>10</v>
      </c>
      <c r="C76" s="120"/>
      <c r="D76" s="120"/>
      <c r="E76" s="120"/>
      <c r="F76" s="120"/>
      <c r="G76" s="121"/>
      <c r="H76" s="101">
        <f>+H74+H72+H71+H70+H69+H68+H67+H66</f>
        <v>1798999.7636802238</v>
      </c>
      <c r="I76" s="104" t="s">
        <v>220</v>
      </c>
      <c r="J76" s="103"/>
    </row>
    <row r="77" spans="1:10" ht="34.5" customHeight="1" x14ac:dyDescent="0.25">
      <c r="B77" s="114" t="s">
        <v>17</v>
      </c>
      <c r="C77" s="114"/>
      <c r="D77" s="114"/>
      <c r="E77" s="114"/>
      <c r="F77" s="114"/>
      <c r="G77" s="114"/>
      <c r="H77" s="101">
        <f>+(H65+H52+H40+H29+H18+H5)*8</f>
        <v>27907590.399999999</v>
      </c>
      <c r="I77" s="106"/>
    </row>
    <row r="78" spans="1:10" ht="66" customHeight="1" x14ac:dyDescent="0.25">
      <c r="B78" s="114" t="s">
        <v>18</v>
      </c>
      <c r="C78" s="114"/>
      <c r="D78" s="114"/>
      <c r="E78" s="114"/>
      <c r="F78" s="114"/>
      <c r="G78" s="114"/>
      <c r="H78" s="101">
        <f>+((H76+H63+H50+H38+H27+H16)*8)-H77</f>
        <v>305263635.37659061</v>
      </c>
      <c r="I78" s="104" t="s">
        <v>219</v>
      </c>
      <c r="J78" s="103"/>
    </row>
    <row r="79" spans="1:10" ht="55.5" customHeight="1" x14ac:dyDescent="0.25">
      <c r="B79" s="114" t="s">
        <v>191</v>
      </c>
      <c r="C79" s="114"/>
      <c r="D79" s="114"/>
      <c r="E79" s="114"/>
      <c r="F79" s="114"/>
      <c r="G79" s="114"/>
      <c r="H79" s="101">
        <v>11268752</v>
      </c>
      <c r="I79" s="104" t="s">
        <v>218</v>
      </c>
    </row>
    <row r="80" spans="1:10" ht="33.75" customHeight="1" x14ac:dyDescent="0.25">
      <c r="B80" s="114" t="s">
        <v>16</v>
      </c>
      <c r="C80" s="114"/>
      <c r="D80" s="114"/>
      <c r="E80" s="114"/>
      <c r="F80" s="114"/>
      <c r="G80" s="114"/>
      <c r="H80" s="101">
        <f>+(((H77*2.77/100)/8)*12)+(H77/8)*12</f>
        <v>43020945.98111999</v>
      </c>
      <c r="I80" s="44"/>
    </row>
    <row r="81" spans="1:13" ht="57" customHeight="1" x14ac:dyDescent="0.25">
      <c r="B81" s="114" t="s">
        <v>15</v>
      </c>
      <c r="C81" s="114"/>
      <c r="D81" s="114"/>
      <c r="E81" s="114"/>
      <c r="F81" s="114"/>
      <c r="G81" s="114"/>
      <c r="H81" s="101">
        <f>+(((H78*4.66/100)/8)*12)+(H78/8)*12</f>
        <v>479233381.17770958</v>
      </c>
      <c r="I81" s="104" t="s">
        <v>223</v>
      </c>
      <c r="J81" s="103"/>
    </row>
    <row r="82" spans="1:13" ht="57" customHeight="1" x14ac:dyDescent="0.25">
      <c r="B82" s="114" t="s">
        <v>192</v>
      </c>
      <c r="C82" s="114"/>
      <c r="D82" s="114"/>
      <c r="E82" s="114"/>
      <c r="F82" s="114"/>
      <c r="G82" s="114"/>
      <c r="H82" s="101">
        <f>+(((H79*3.66/100)/8)*12)+(H79/8)*12</f>
        <v>17521782.4848</v>
      </c>
      <c r="I82" s="106"/>
    </row>
    <row r="83" spans="1:13" ht="32.25" customHeight="1" x14ac:dyDescent="0.25">
      <c r="B83" s="114" t="s">
        <v>13</v>
      </c>
      <c r="C83" s="114"/>
      <c r="D83" s="114"/>
      <c r="E83" s="114"/>
      <c r="F83" s="114"/>
      <c r="G83" s="114"/>
      <c r="H83" s="101">
        <f>+(((H80*2.77/100)/12)*4)+(H80/12)*4</f>
        <v>14737542.061599005</v>
      </c>
      <c r="I83" s="106"/>
    </row>
    <row r="84" spans="1:13" ht="62.25" customHeight="1" x14ac:dyDescent="0.25">
      <c r="B84" s="114" t="s">
        <v>14</v>
      </c>
      <c r="C84" s="114"/>
      <c r="D84" s="114"/>
      <c r="E84" s="114"/>
      <c r="F84" s="114"/>
      <c r="G84" s="114"/>
      <c r="H84" s="101">
        <f>+(((H81*4.66/100)/12)*4)+(H81/12)*4</f>
        <v>167188552.24686363</v>
      </c>
      <c r="I84" s="104" t="s">
        <v>224</v>
      </c>
      <c r="J84" s="103"/>
    </row>
    <row r="85" spans="1:13" ht="58.5" customHeight="1" x14ac:dyDescent="0.25">
      <c r="B85" s="114" t="s">
        <v>193</v>
      </c>
      <c r="C85" s="114"/>
      <c r="D85" s="114"/>
      <c r="E85" s="114"/>
      <c r="F85" s="114"/>
      <c r="G85" s="114"/>
      <c r="H85" s="101">
        <f>+(((H82*3.66/100)/12)*4)+(H82/12)*4</f>
        <v>6054359.9079145603</v>
      </c>
      <c r="I85" s="104" t="s">
        <v>225</v>
      </c>
      <c r="J85" s="103"/>
    </row>
    <row r="86" spans="1:13" ht="59.25" customHeight="1" x14ac:dyDescent="0.25">
      <c r="B86" s="114" t="s">
        <v>182</v>
      </c>
      <c r="C86" s="114"/>
      <c r="D86" s="114"/>
      <c r="E86" s="114"/>
      <c r="F86" s="114"/>
      <c r="G86" s="114"/>
      <c r="H86" s="101">
        <f>SUM(H77:H85)</f>
        <v>1072196541.6365973</v>
      </c>
      <c r="I86" s="104" t="s">
        <v>226</v>
      </c>
      <c r="J86" s="103"/>
    </row>
    <row r="89" spans="1:13" x14ac:dyDescent="0.25">
      <c r="A89" s="113" t="s">
        <v>172</v>
      </c>
      <c r="B89" s="113"/>
      <c r="C89" s="113"/>
      <c r="D89" s="113"/>
      <c r="E89" s="113"/>
      <c r="F89" s="113"/>
      <c r="G89" s="113"/>
      <c r="H89" s="113"/>
    </row>
    <row r="90" spans="1:13" x14ac:dyDescent="0.25">
      <c r="A90" s="113"/>
      <c r="B90" s="113"/>
      <c r="C90" s="113"/>
      <c r="D90" s="113"/>
      <c r="E90" s="113"/>
      <c r="F90" s="113"/>
      <c r="G90" s="113"/>
      <c r="H90" s="113"/>
    </row>
    <row r="91" spans="1:13" x14ac:dyDescent="0.25">
      <c r="A91" s="113"/>
      <c r="B91" s="113"/>
      <c r="C91" s="113"/>
      <c r="D91" s="113"/>
      <c r="E91" s="113"/>
      <c r="F91" s="113"/>
      <c r="G91" s="113"/>
      <c r="H91" s="113"/>
    </row>
    <row r="92" spans="1:13" x14ac:dyDescent="0.25">
      <c r="A92" s="113"/>
      <c r="B92" s="113"/>
      <c r="C92" s="113"/>
      <c r="D92" s="113"/>
      <c r="E92" s="113"/>
      <c r="F92" s="113"/>
      <c r="G92" s="113"/>
      <c r="H92" s="113"/>
    </row>
    <row r="93" spans="1:13" ht="6.75" customHeight="1" x14ac:dyDescent="0.25"/>
    <row r="94" spans="1:13" ht="87.75" customHeight="1" x14ac:dyDescent="0.25">
      <c r="A94" s="30" t="s">
        <v>169</v>
      </c>
      <c r="B94" s="117" t="s">
        <v>170</v>
      </c>
      <c r="C94" s="117"/>
      <c r="D94" s="117"/>
      <c r="E94" s="117"/>
      <c r="F94" s="117"/>
      <c r="G94" s="117"/>
      <c r="H94" s="33" t="s">
        <v>171</v>
      </c>
      <c r="I94" s="32"/>
      <c r="J94" s="12"/>
      <c r="K94" s="12"/>
      <c r="L94" s="12"/>
      <c r="M94" s="12"/>
    </row>
    <row r="95" spans="1:13" ht="15.75" customHeight="1" x14ac:dyDescent="0.25">
      <c r="A95" s="14"/>
      <c r="B95" s="115"/>
      <c r="C95" s="115"/>
      <c r="D95" s="115"/>
      <c r="E95" s="115"/>
      <c r="F95" s="115"/>
      <c r="G95" s="115"/>
      <c r="H95" s="106"/>
    </row>
    <row r="97" spans="1:9" ht="31.5" customHeight="1" x14ac:dyDescent="0.25">
      <c r="A97" s="118" t="s">
        <v>173</v>
      </c>
      <c r="B97" s="118"/>
      <c r="C97" s="118"/>
      <c r="D97" s="118"/>
      <c r="E97" s="118"/>
      <c r="F97" s="118"/>
      <c r="G97" s="118"/>
      <c r="H97" s="118"/>
    </row>
    <row r="98" spans="1:9" ht="16.5" customHeight="1" x14ac:dyDescent="0.25"/>
    <row r="99" spans="1:9" ht="150" customHeight="1" x14ac:dyDescent="0.25">
      <c r="A99" s="116" t="s">
        <v>255</v>
      </c>
      <c r="B99" s="116"/>
      <c r="C99" s="116"/>
      <c r="D99" s="116"/>
      <c r="E99" s="116"/>
      <c r="F99" s="116"/>
      <c r="G99" s="116"/>
      <c r="H99" s="116"/>
      <c r="I99" s="34"/>
    </row>
    <row r="100" spans="1:9" x14ac:dyDescent="0.25">
      <c r="A100" s="110" t="s">
        <v>246</v>
      </c>
      <c r="B100" s="110"/>
      <c r="C100" s="110"/>
      <c r="D100" s="110"/>
      <c r="E100" s="110"/>
      <c r="F100" s="110"/>
      <c r="G100" s="110"/>
      <c r="H100" s="110"/>
      <c r="I100" s="103"/>
    </row>
    <row r="101" spans="1:9" ht="36.75" customHeight="1" x14ac:dyDescent="0.25">
      <c r="A101" s="108" t="s">
        <v>248</v>
      </c>
      <c r="B101" s="108"/>
      <c r="C101" s="108"/>
      <c r="D101" s="108"/>
      <c r="E101" s="108"/>
      <c r="F101" s="108"/>
      <c r="G101" s="108"/>
      <c r="H101" s="108"/>
      <c r="I101" s="103"/>
    </row>
    <row r="102" spans="1:9" x14ac:dyDescent="0.25">
      <c r="E102" s="42"/>
      <c r="F102" s="42"/>
      <c r="G102" s="42"/>
      <c r="H102" s="103"/>
      <c r="I102" s="103"/>
    </row>
    <row r="103" spans="1:9" x14ac:dyDescent="0.25">
      <c r="E103" s="103"/>
      <c r="F103" s="103"/>
      <c r="G103" s="103"/>
      <c r="H103" s="103"/>
      <c r="I103" s="103"/>
    </row>
    <row r="104" spans="1:9" x14ac:dyDescent="0.25">
      <c r="E104" s="42"/>
      <c r="F104" s="42"/>
      <c r="G104" s="42"/>
      <c r="H104" s="42"/>
      <c r="I104" s="103"/>
    </row>
    <row r="105" spans="1:9" x14ac:dyDescent="0.25">
      <c r="E105" s="103"/>
      <c r="F105" s="103"/>
      <c r="G105" s="103"/>
      <c r="H105" s="103"/>
      <c r="I105" s="103"/>
    </row>
    <row r="106" spans="1:9" x14ac:dyDescent="0.25">
      <c r="E106" s="42"/>
      <c r="F106" s="42"/>
      <c r="G106" s="42"/>
      <c r="H106" s="42"/>
      <c r="I106" s="103"/>
    </row>
  </sheetData>
  <mergeCells count="103">
    <mergeCell ref="H12:H13"/>
    <mergeCell ref="H1:H2"/>
    <mergeCell ref="B14:B15"/>
    <mergeCell ref="C14:C15"/>
    <mergeCell ref="A1:C2"/>
    <mergeCell ref="F1:F2"/>
    <mergeCell ref="G1:G2"/>
    <mergeCell ref="B3:C3"/>
    <mergeCell ref="B4:C4"/>
    <mergeCell ref="B5:C5"/>
    <mergeCell ref="B6:C6"/>
    <mergeCell ref="A28:A38"/>
    <mergeCell ref="D1:D2"/>
    <mergeCell ref="E1:E2"/>
    <mergeCell ref="D3:D15"/>
    <mergeCell ref="D28:D37"/>
    <mergeCell ref="A4:A16"/>
    <mergeCell ref="B16:G16"/>
    <mergeCell ref="A17:A27"/>
    <mergeCell ref="B17:C17"/>
    <mergeCell ref="D17:D26"/>
    <mergeCell ref="B12:B13"/>
    <mergeCell ref="C12:C13"/>
    <mergeCell ref="E12:E13"/>
    <mergeCell ref="F12:F13"/>
    <mergeCell ref="G12:G13"/>
    <mergeCell ref="B30:C30"/>
    <mergeCell ref="A39:A50"/>
    <mergeCell ref="B76:G76"/>
    <mergeCell ref="A51:A63"/>
    <mergeCell ref="B64:C64"/>
    <mergeCell ref="B65:C65"/>
    <mergeCell ref="B66:C66"/>
    <mergeCell ref="B72:B73"/>
    <mergeCell ref="C72:C73"/>
    <mergeCell ref="B59:B60"/>
    <mergeCell ref="C59:C60"/>
    <mergeCell ref="B63:G63"/>
    <mergeCell ref="B74:B75"/>
    <mergeCell ref="C74:C75"/>
    <mergeCell ref="B47:B48"/>
    <mergeCell ref="C47:C48"/>
    <mergeCell ref="B51:C51"/>
    <mergeCell ref="B52:C52"/>
    <mergeCell ref="B61:B62"/>
    <mergeCell ref="C61:C62"/>
    <mergeCell ref="B39:C39"/>
    <mergeCell ref="B40:C40"/>
    <mergeCell ref="B41:C41"/>
    <mergeCell ref="B53:C53"/>
    <mergeCell ref="B85:G85"/>
    <mergeCell ref="B77:G77"/>
    <mergeCell ref="B80:G80"/>
    <mergeCell ref="B81:G81"/>
    <mergeCell ref="B83:G83"/>
    <mergeCell ref="E59:E60"/>
    <mergeCell ref="F59:F60"/>
    <mergeCell ref="G59:G60"/>
    <mergeCell ref="E72:E73"/>
    <mergeCell ref="F72:F73"/>
    <mergeCell ref="D64:D75"/>
    <mergeCell ref="H47:H48"/>
    <mergeCell ref="B84:G84"/>
    <mergeCell ref="B78:G78"/>
    <mergeCell ref="B79:G79"/>
    <mergeCell ref="B82:G82"/>
    <mergeCell ref="B27:G27"/>
    <mergeCell ref="D39:D49"/>
    <mergeCell ref="D51:D62"/>
    <mergeCell ref="H14:H15"/>
    <mergeCell ref="E14:E15"/>
    <mergeCell ref="F14:F15"/>
    <mergeCell ref="G14:G15"/>
    <mergeCell ref="B38:G38"/>
    <mergeCell ref="B50:G50"/>
    <mergeCell ref="B18:C18"/>
    <mergeCell ref="B19:C19"/>
    <mergeCell ref="B28:C28"/>
    <mergeCell ref="B29:C29"/>
    <mergeCell ref="A101:H101"/>
    <mergeCell ref="I1:I2"/>
    <mergeCell ref="A100:H100"/>
    <mergeCell ref="H59:H60"/>
    <mergeCell ref="E61:E62"/>
    <mergeCell ref="F61:F62"/>
    <mergeCell ref="G61:G62"/>
    <mergeCell ref="H61:H62"/>
    <mergeCell ref="A89:H92"/>
    <mergeCell ref="B86:G86"/>
    <mergeCell ref="A64:A76"/>
    <mergeCell ref="A99:H99"/>
    <mergeCell ref="G72:G73"/>
    <mergeCell ref="H72:H73"/>
    <mergeCell ref="E74:E75"/>
    <mergeCell ref="F74:F75"/>
    <mergeCell ref="G74:G75"/>
    <mergeCell ref="H74:H75"/>
    <mergeCell ref="B94:G94"/>
    <mergeCell ref="B95:G95"/>
    <mergeCell ref="A97:H97"/>
    <mergeCell ref="E47:E48"/>
    <mergeCell ref="F47:F48"/>
    <mergeCell ref="G47:G4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16" workbookViewId="0">
      <selection activeCell="A25" sqref="A25"/>
    </sheetView>
  </sheetViews>
  <sheetFormatPr baseColWidth="10" defaultRowHeight="13.5" x14ac:dyDescent="0.25"/>
  <cols>
    <col min="1" max="1" width="62.140625" style="86" customWidth="1"/>
    <col min="2" max="3" width="30.5703125" style="86" customWidth="1"/>
    <col min="4" max="4" width="33.28515625" style="86" customWidth="1"/>
    <col min="5" max="16384" width="11.42578125" style="86"/>
  </cols>
  <sheetData>
    <row r="1" spans="1:11" ht="36.75" customHeight="1" x14ac:dyDescent="0.25">
      <c r="A1" s="83" t="s">
        <v>19</v>
      </c>
      <c r="B1" s="84" t="s">
        <v>184</v>
      </c>
      <c r="C1" s="84" t="s">
        <v>185</v>
      </c>
      <c r="D1" s="84" t="s">
        <v>186</v>
      </c>
      <c r="E1" s="85"/>
    </row>
    <row r="2" spans="1:11" ht="75" customHeight="1" x14ac:dyDescent="0.25">
      <c r="A2" s="87" t="s">
        <v>21</v>
      </c>
      <c r="B2" s="88">
        <v>89772590</v>
      </c>
      <c r="C2" s="88">
        <v>139587401</v>
      </c>
      <c r="D2" s="88">
        <v>48232100</v>
      </c>
      <c r="F2" s="89"/>
    </row>
    <row r="3" spans="1:11" ht="136.5" customHeight="1" x14ac:dyDescent="0.25">
      <c r="A3" s="87" t="s">
        <v>23</v>
      </c>
      <c r="B3" s="88">
        <v>2593620</v>
      </c>
      <c r="C3" s="88">
        <v>4032819</v>
      </c>
      <c r="D3" s="88">
        <v>1393473</v>
      </c>
    </row>
    <row r="4" spans="1:11" ht="75.75" customHeight="1" x14ac:dyDescent="0.25">
      <c r="A4" s="87" t="s">
        <v>22</v>
      </c>
      <c r="B4" s="88">
        <v>41184318</v>
      </c>
      <c r="C4" s="88">
        <v>64204415</v>
      </c>
      <c r="D4" s="88">
        <v>22127089</v>
      </c>
      <c r="F4" s="90"/>
    </row>
    <row r="5" spans="1:11" ht="12.75" customHeight="1" x14ac:dyDescent="0.25">
      <c r="A5" s="91"/>
      <c r="B5" s="92"/>
    </row>
    <row r="6" spans="1:11" ht="24.75" customHeight="1" x14ac:dyDescent="0.25">
      <c r="A6" s="143" t="s">
        <v>181</v>
      </c>
      <c r="B6" s="143"/>
      <c r="C6" s="143">
        <f>(D4+D3+D2+C4+C3+C2+B4+B3+B2)</f>
        <v>413127825</v>
      </c>
      <c r="D6" s="143"/>
      <c r="E6" s="142"/>
      <c r="F6" s="142"/>
      <c r="G6" s="142"/>
      <c r="H6" s="142"/>
      <c r="I6" s="142"/>
      <c r="J6" s="142"/>
      <c r="K6" s="142"/>
    </row>
    <row r="7" spans="1:11" x14ac:dyDescent="0.25">
      <c r="A7" s="93"/>
    </row>
    <row r="8" spans="1:11" ht="12.75" customHeight="1" x14ac:dyDescent="0.25">
      <c r="A8" s="113" t="s">
        <v>172</v>
      </c>
      <c r="B8" s="113"/>
      <c r="C8" s="113"/>
      <c r="D8" s="113"/>
      <c r="E8" s="49"/>
      <c r="F8" s="49"/>
      <c r="G8" s="49"/>
      <c r="H8" s="49"/>
    </row>
    <row r="9" spans="1:11" x14ac:dyDescent="0.25">
      <c r="A9" s="113"/>
      <c r="B9" s="113"/>
      <c r="C9" s="113"/>
      <c r="D9" s="113"/>
      <c r="E9" s="49"/>
      <c r="F9" s="49"/>
      <c r="G9" s="49"/>
      <c r="H9" s="49"/>
    </row>
    <row r="10" spans="1:11" x14ac:dyDescent="0.25">
      <c r="A10" s="42"/>
      <c r="B10" s="42"/>
      <c r="C10" s="42"/>
      <c r="D10" s="42"/>
      <c r="E10" s="42"/>
      <c r="F10" s="42"/>
      <c r="G10" s="42"/>
      <c r="H10" s="42"/>
    </row>
    <row r="11" spans="1:11" ht="13.5" customHeight="1" x14ac:dyDescent="0.25">
      <c r="A11" s="42"/>
      <c r="B11" s="42"/>
      <c r="C11" s="42"/>
      <c r="D11" s="42"/>
      <c r="E11" s="42"/>
      <c r="F11" s="42"/>
      <c r="G11" s="42"/>
      <c r="H11" s="42"/>
    </row>
    <row r="12" spans="1:11" ht="81" customHeight="1" x14ac:dyDescent="0.25">
      <c r="A12" s="30" t="s">
        <v>169</v>
      </c>
      <c r="B12" s="115" t="s">
        <v>170</v>
      </c>
      <c r="C12" s="115"/>
      <c r="D12" s="13" t="s">
        <v>171</v>
      </c>
      <c r="E12" s="12"/>
      <c r="F12" s="12"/>
      <c r="G12" s="12"/>
    </row>
    <row r="13" spans="1:11" ht="78" customHeight="1" x14ac:dyDescent="0.25">
      <c r="A13" s="19" t="s">
        <v>197</v>
      </c>
      <c r="B13" s="108" t="s">
        <v>198</v>
      </c>
      <c r="C13" s="108"/>
      <c r="D13" s="94" t="s">
        <v>203</v>
      </c>
      <c r="E13" s="12"/>
      <c r="F13" s="12"/>
      <c r="G13" s="12"/>
      <c r="H13" s="37"/>
    </row>
    <row r="14" spans="1:11" ht="39" customHeight="1" x14ac:dyDescent="0.25">
      <c r="A14" s="52" t="s">
        <v>199</v>
      </c>
      <c r="B14" s="147" t="s">
        <v>200</v>
      </c>
      <c r="C14" s="147"/>
      <c r="D14" s="94" t="s">
        <v>40</v>
      </c>
    </row>
    <row r="15" spans="1:11" ht="28.5" customHeight="1" x14ac:dyDescent="0.25">
      <c r="A15" s="118" t="s">
        <v>173</v>
      </c>
      <c r="B15" s="118"/>
      <c r="C15" s="118"/>
      <c r="D15" s="16"/>
      <c r="E15" s="16"/>
      <c r="F15" s="16"/>
      <c r="G15" s="16"/>
      <c r="H15" s="16"/>
    </row>
    <row r="16" spans="1:11" ht="16.5" customHeight="1" x14ac:dyDescent="0.25">
      <c r="A16" s="31"/>
      <c r="B16" s="31"/>
      <c r="C16" s="31"/>
      <c r="D16" s="16"/>
      <c r="E16" s="16"/>
      <c r="F16" s="16"/>
      <c r="G16" s="16"/>
      <c r="H16" s="16"/>
    </row>
    <row r="17" spans="1:17" ht="61.5" customHeight="1" x14ac:dyDescent="0.25">
      <c r="A17" s="145" t="s">
        <v>233</v>
      </c>
      <c r="B17" s="146"/>
      <c r="C17" s="146"/>
      <c r="D17" s="146"/>
    </row>
    <row r="18" spans="1:17" ht="42" customHeight="1" x14ac:dyDescent="0.25">
      <c r="A18" s="145" t="s">
        <v>234</v>
      </c>
      <c r="B18" s="145"/>
      <c r="C18" s="145"/>
      <c r="D18" s="145"/>
    </row>
    <row r="19" spans="1:17" ht="19.5" customHeight="1" x14ac:dyDescent="0.25">
      <c r="A19" s="144" t="s">
        <v>235</v>
      </c>
      <c r="B19" s="144"/>
      <c r="C19" s="144"/>
      <c r="D19" s="144"/>
      <c r="E19" s="95"/>
      <c r="F19" s="95"/>
      <c r="G19" s="95"/>
      <c r="H19" s="95"/>
      <c r="I19" s="95"/>
      <c r="J19" s="95"/>
      <c r="K19" s="95"/>
      <c r="L19" s="95"/>
      <c r="M19" s="95"/>
      <c r="N19" s="95"/>
      <c r="O19" s="95"/>
      <c r="P19" s="95"/>
      <c r="Q19" s="95"/>
    </row>
  </sheetData>
  <mergeCells count="11">
    <mergeCell ref="E6:K6"/>
    <mergeCell ref="A6:B6"/>
    <mergeCell ref="C6:D6"/>
    <mergeCell ref="A8:D9"/>
    <mergeCell ref="A19:D19"/>
    <mergeCell ref="A18:D18"/>
    <mergeCell ref="A17:D17"/>
    <mergeCell ref="B12:C12"/>
    <mergeCell ref="B13:C13"/>
    <mergeCell ref="B14:C14"/>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48" zoomScaleNormal="100" workbookViewId="0">
      <selection activeCell="H61" sqref="H61"/>
    </sheetView>
  </sheetViews>
  <sheetFormatPr baseColWidth="10" defaultRowHeight="16.5" x14ac:dyDescent="0.3"/>
  <cols>
    <col min="1" max="2" width="11.42578125" style="2"/>
    <col min="3" max="3" width="15.5703125" style="2" customWidth="1"/>
    <col min="4" max="4" width="8.85546875" style="2" customWidth="1"/>
    <col min="5" max="5" width="9.85546875" style="2" customWidth="1"/>
    <col min="6" max="6" width="10.7109375" style="2" customWidth="1"/>
    <col min="7" max="7" width="11.42578125" style="2"/>
    <col min="8" max="8" width="14" style="2" customWidth="1"/>
    <col min="9" max="9" width="16.5703125" style="2" customWidth="1"/>
    <col min="10" max="10" width="6.42578125" style="2" customWidth="1"/>
    <col min="11" max="12" width="11.42578125" style="2"/>
    <col min="13" max="13" width="17.42578125" style="2" customWidth="1"/>
    <col min="14" max="16" width="11.42578125" style="2"/>
    <col min="17" max="17" width="17.42578125" style="2" customWidth="1"/>
    <col min="18" max="16384" width="11.42578125" style="2"/>
  </cols>
  <sheetData>
    <row r="1" spans="1:17" ht="45.75" customHeight="1" x14ac:dyDescent="0.3">
      <c r="A1" s="172" t="s">
        <v>24</v>
      </c>
      <c r="B1" s="173"/>
      <c r="C1" s="173"/>
      <c r="D1" s="173"/>
      <c r="E1" s="174"/>
      <c r="F1" s="158" t="s">
        <v>132</v>
      </c>
      <c r="G1" s="158"/>
      <c r="H1" s="158"/>
      <c r="I1" s="158"/>
      <c r="J1" s="158" t="s">
        <v>133</v>
      </c>
      <c r="K1" s="158"/>
      <c r="L1" s="158"/>
      <c r="M1" s="158"/>
      <c r="N1" s="158" t="s">
        <v>134</v>
      </c>
      <c r="O1" s="158"/>
      <c r="P1" s="158"/>
      <c r="Q1" s="158"/>
    </row>
    <row r="2" spans="1:17" ht="39" customHeight="1" x14ac:dyDescent="0.3">
      <c r="A2" s="153" t="s">
        <v>123</v>
      </c>
      <c r="B2" s="153"/>
      <c r="C2" s="153"/>
      <c r="D2" s="63" t="s">
        <v>124</v>
      </c>
      <c r="E2" s="63" t="s">
        <v>125</v>
      </c>
      <c r="F2" s="63" t="s">
        <v>129</v>
      </c>
      <c r="G2" s="63" t="s">
        <v>130</v>
      </c>
      <c r="H2" s="63" t="s">
        <v>183</v>
      </c>
      <c r="I2" s="63" t="s">
        <v>166</v>
      </c>
      <c r="J2" s="63" t="s">
        <v>128</v>
      </c>
      <c r="K2" s="63" t="s">
        <v>131</v>
      </c>
      <c r="L2" s="63" t="s">
        <v>183</v>
      </c>
      <c r="M2" s="63" t="s">
        <v>166</v>
      </c>
      <c r="N2" s="63" t="s">
        <v>126</v>
      </c>
      <c r="O2" s="63" t="s">
        <v>131</v>
      </c>
      <c r="P2" s="63" t="s">
        <v>183</v>
      </c>
      <c r="Q2" s="63" t="s">
        <v>166</v>
      </c>
    </row>
    <row r="3" spans="1:17" x14ac:dyDescent="0.3">
      <c r="A3" s="63" t="s">
        <v>25</v>
      </c>
      <c r="B3" s="63" t="s">
        <v>26</v>
      </c>
      <c r="C3" s="63" t="s">
        <v>27</v>
      </c>
      <c r="D3" s="64"/>
      <c r="E3" s="64"/>
      <c r="F3" s="64"/>
      <c r="G3" s="63"/>
      <c r="H3" s="63"/>
      <c r="I3" s="63"/>
      <c r="J3" s="64"/>
      <c r="K3" s="63"/>
      <c r="L3" s="63"/>
      <c r="M3" s="63"/>
      <c r="N3" s="64"/>
      <c r="O3" s="63"/>
      <c r="P3" s="63"/>
      <c r="Q3" s="63"/>
    </row>
    <row r="4" spans="1:17" x14ac:dyDescent="0.3">
      <c r="A4" s="65" t="s">
        <v>28</v>
      </c>
      <c r="B4" s="65" t="s">
        <v>29</v>
      </c>
      <c r="C4" s="65" t="s">
        <v>30</v>
      </c>
      <c r="D4" s="66">
        <v>100</v>
      </c>
      <c r="E4" s="66"/>
      <c r="F4" s="66">
        <v>1</v>
      </c>
      <c r="G4" s="67">
        <v>182875</v>
      </c>
      <c r="H4" s="67">
        <f>(G4*16%)</f>
        <v>29260</v>
      </c>
      <c r="I4" s="67">
        <f>(G4+H4)</f>
        <v>212135</v>
      </c>
      <c r="J4" s="66">
        <v>2</v>
      </c>
      <c r="K4" s="67">
        <f>(G4*3.66%)+G4</f>
        <v>189568.22500000001</v>
      </c>
      <c r="L4" s="67">
        <f>(K4*16%)</f>
        <v>30330.916000000001</v>
      </c>
      <c r="M4" s="67">
        <f>(L4+K4)*J4</f>
        <v>439798.28200000001</v>
      </c>
      <c r="N4" s="66">
        <v>1</v>
      </c>
      <c r="O4" s="67">
        <f>(K4*3.66%)+K4</f>
        <v>196506.422035</v>
      </c>
      <c r="P4" s="67">
        <f>(O4*16%)</f>
        <v>31441.027525599999</v>
      </c>
      <c r="Q4" s="67">
        <f>(O4+P4)</f>
        <v>227947.44956059998</v>
      </c>
    </row>
    <row r="5" spans="1:17" ht="60" customHeight="1" x14ac:dyDescent="0.3">
      <c r="A5" s="65" t="s">
        <v>31</v>
      </c>
      <c r="B5" s="65" t="s">
        <v>32</v>
      </c>
      <c r="C5" s="65" t="s">
        <v>33</v>
      </c>
      <c r="D5" s="66">
        <v>66.510000000000005</v>
      </c>
      <c r="E5" s="66"/>
      <c r="F5" s="66">
        <v>1</v>
      </c>
      <c r="G5" s="67">
        <v>156750</v>
      </c>
      <c r="H5" s="67">
        <f t="shared" ref="H5:H43" si="0">(G5*16%)</f>
        <v>25080</v>
      </c>
      <c r="I5" s="67">
        <f t="shared" ref="I5:I43" si="1">(G5+H5)</f>
        <v>181830</v>
      </c>
      <c r="J5" s="66">
        <v>2</v>
      </c>
      <c r="K5" s="67">
        <f t="shared" ref="K5:K43" si="2">(G5*3.66%)+G5</f>
        <v>162487.04999999999</v>
      </c>
      <c r="L5" s="67">
        <f t="shared" ref="L5:L43" si="3">(K5*16%)</f>
        <v>25997.928</v>
      </c>
      <c r="M5" s="67">
        <f t="shared" ref="M5:M31" si="4">(L5+K5)*J5</f>
        <v>376969.95600000001</v>
      </c>
      <c r="N5" s="66">
        <v>1</v>
      </c>
      <c r="O5" s="67">
        <f t="shared" ref="O5:O43" si="5">(K5*3.66%)+K5</f>
        <v>168434.07603</v>
      </c>
      <c r="P5" s="67">
        <f t="shared" ref="P5:P43" si="6">(O5*16%)</f>
        <v>26949.452164800001</v>
      </c>
      <c r="Q5" s="67">
        <f t="shared" ref="Q5:Q43" si="7">(O5+P5)</f>
        <v>195383.52819479999</v>
      </c>
    </row>
    <row r="6" spans="1:17" ht="60" customHeight="1" x14ac:dyDescent="0.3">
      <c r="A6" s="65" t="s">
        <v>34</v>
      </c>
      <c r="B6" s="65" t="s">
        <v>35</v>
      </c>
      <c r="C6" s="65" t="s">
        <v>36</v>
      </c>
      <c r="D6" s="66">
        <v>72.31</v>
      </c>
      <c r="E6" s="66"/>
      <c r="F6" s="66">
        <v>1</v>
      </c>
      <c r="G6" s="67">
        <v>182875</v>
      </c>
      <c r="H6" s="67">
        <f t="shared" si="0"/>
        <v>29260</v>
      </c>
      <c r="I6" s="67">
        <f t="shared" si="1"/>
        <v>212135</v>
      </c>
      <c r="J6" s="66">
        <v>2</v>
      </c>
      <c r="K6" s="67">
        <f t="shared" si="2"/>
        <v>189568.22500000001</v>
      </c>
      <c r="L6" s="67">
        <f t="shared" si="3"/>
        <v>30330.916000000001</v>
      </c>
      <c r="M6" s="67">
        <f t="shared" si="4"/>
        <v>439798.28200000001</v>
      </c>
      <c r="N6" s="66">
        <v>1</v>
      </c>
      <c r="O6" s="67">
        <f t="shared" si="5"/>
        <v>196506.422035</v>
      </c>
      <c r="P6" s="67">
        <f t="shared" si="6"/>
        <v>31441.027525599999</v>
      </c>
      <c r="Q6" s="67">
        <f t="shared" si="7"/>
        <v>227947.44956059998</v>
      </c>
    </row>
    <row r="7" spans="1:17" ht="72" customHeight="1" x14ac:dyDescent="0.3">
      <c r="A7" s="65" t="s">
        <v>37</v>
      </c>
      <c r="B7" s="65" t="s">
        <v>38</v>
      </c>
      <c r="C7" s="65" t="s">
        <v>39</v>
      </c>
      <c r="D7" s="66">
        <v>149.63</v>
      </c>
      <c r="E7" s="66"/>
      <c r="F7" s="66">
        <v>1</v>
      </c>
      <c r="G7" s="67">
        <v>120175</v>
      </c>
      <c r="H7" s="67">
        <f t="shared" si="0"/>
        <v>19228</v>
      </c>
      <c r="I7" s="67">
        <f t="shared" si="1"/>
        <v>139403</v>
      </c>
      <c r="J7" s="66">
        <v>2</v>
      </c>
      <c r="K7" s="67">
        <f t="shared" si="2"/>
        <v>124573.405</v>
      </c>
      <c r="L7" s="67">
        <f t="shared" si="3"/>
        <v>19931.7448</v>
      </c>
      <c r="M7" s="67">
        <f t="shared" si="4"/>
        <v>289010.29960000003</v>
      </c>
      <c r="N7" s="66">
        <v>1</v>
      </c>
      <c r="O7" s="67">
        <f t="shared" si="5"/>
        <v>129132.791623</v>
      </c>
      <c r="P7" s="67">
        <f t="shared" si="6"/>
        <v>20661.24665968</v>
      </c>
      <c r="Q7" s="67">
        <f t="shared" si="7"/>
        <v>149794.03828268001</v>
      </c>
    </row>
    <row r="8" spans="1:17" ht="60" customHeight="1" x14ac:dyDescent="0.3">
      <c r="A8" s="65" t="s">
        <v>40</v>
      </c>
      <c r="B8" s="65" t="s">
        <v>41</v>
      </c>
      <c r="C8" s="65" t="s">
        <v>42</v>
      </c>
      <c r="D8" s="66">
        <v>90</v>
      </c>
      <c r="E8" s="66"/>
      <c r="F8" s="66">
        <v>1</v>
      </c>
      <c r="G8" s="67">
        <v>260000</v>
      </c>
      <c r="H8" s="67"/>
      <c r="I8" s="67">
        <f t="shared" si="1"/>
        <v>260000</v>
      </c>
      <c r="J8" s="66">
        <v>2</v>
      </c>
      <c r="K8" s="67">
        <f t="shared" si="2"/>
        <v>269516</v>
      </c>
      <c r="L8" s="67"/>
      <c r="M8" s="67">
        <f t="shared" si="4"/>
        <v>539032</v>
      </c>
      <c r="N8" s="66">
        <v>1</v>
      </c>
      <c r="O8" s="67">
        <f t="shared" si="5"/>
        <v>279380.2856</v>
      </c>
      <c r="P8" s="67"/>
      <c r="Q8" s="67">
        <f t="shared" si="7"/>
        <v>279380.2856</v>
      </c>
    </row>
    <row r="9" spans="1:17" ht="72" customHeight="1" x14ac:dyDescent="0.3">
      <c r="A9" s="65" t="s">
        <v>43</v>
      </c>
      <c r="B9" s="65" t="s">
        <v>44</v>
      </c>
      <c r="C9" s="65" t="s">
        <v>45</v>
      </c>
      <c r="D9" s="66">
        <v>250</v>
      </c>
      <c r="E9" s="66"/>
      <c r="F9" s="66">
        <v>1</v>
      </c>
      <c r="G9" s="67">
        <v>177650</v>
      </c>
      <c r="H9" s="67">
        <f t="shared" si="0"/>
        <v>28424</v>
      </c>
      <c r="I9" s="67">
        <f t="shared" si="1"/>
        <v>206074</v>
      </c>
      <c r="J9" s="66">
        <v>2</v>
      </c>
      <c r="K9" s="67">
        <f t="shared" si="2"/>
        <v>184151.99</v>
      </c>
      <c r="L9" s="67">
        <f t="shared" si="3"/>
        <v>29464.3184</v>
      </c>
      <c r="M9" s="67">
        <f t="shared" si="4"/>
        <v>427232.61679999996</v>
      </c>
      <c r="N9" s="66">
        <v>1</v>
      </c>
      <c r="O9" s="67">
        <f t="shared" si="5"/>
        <v>190891.952834</v>
      </c>
      <c r="P9" s="67">
        <f t="shared" si="6"/>
        <v>30542.712453439999</v>
      </c>
      <c r="Q9" s="67">
        <f t="shared" si="7"/>
        <v>221434.66528744</v>
      </c>
    </row>
    <row r="10" spans="1:17" ht="72" customHeight="1" x14ac:dyDescent="0.3">
      <c r="A10" s="65" t="s">
        <v>46</v>
      </c>
      <c r="B10" s="65" t="s">
        <v>47</v>
      </c>
      <c r="C10" s="65" t="s">
        <v>48</v>
      </c>
      <c r="D10" s="66">
        <v>100</v>
      </c>
      <c r="E10" s="66"/>
      <c r="F10" s="66">
        <v>1</v>
      </c>
      <c r="G10" s="67">
        <v>156750</v>
      </c>
      <c r="H10" s="67">
        <f t="shared" si="0"/>
        <v>25080</v>
      </c>
      <c r="I10" s="67">
        <f t="shared" si="1"/>
        <v>181830</v>
      </c>
      <c r="J10" s="66">
        <v>2</v>
      </c>
      <c r="K10" s="67">
        <f t="shared" si="2"/>
        <v>162487.04999999999</v>
      </c>
      <c r="L10" s="67">
        <f t="shared" si="3"/>
        <v>25997.928</v>
      </c>
      <c r="M10" s="67">
        <f t="shared" si="4"/>
        <v>376969.95600000001</v>
      </c>
      <c r="N10" s="66">
        <v>1</v>
      </c>
      <c r="O10" s="67">
        <f t="shared" si="5"/>
        <v>168434.07603</v>
      </c>
      <c r="P10" s="67">
        <f t="shared" si="6"/>
        <v>26949.452164800001</v>
      </c>
      <c r="Q10" s="67">
        <f t="shared" si="7"/>
        <v>195383.52819479999</v>
      </c>
    </row>
    <row r="11" spans="1:17" ht="60" customHeight="1" x14ac:dyDescent="0.3">
      <c r="A11" s="65" t="s">
        <v>49</v>
      </c>
      <c r="B11" s="65" t="s">
        <v>50</v>
      </c>
      <c r="C11" s="65" t="s">
        <v>51</v>
      </c>
      <c r="D11" s="66">
        <v>64.19</v>
      </c>
      <c r="E11" s="66"/>
      <c r="F11" s="66">
        <v>1</v>
      </c>
      <c r="G11" s="67">
        <v>177650</v>
      </c>
      <c r="H11" s="67">
        <f t="shared" si="0"/>
        <v>28424</v>
      </c>
      <c r="I11" s="67">
        <f t="shared" si="1"/>
        <v>206074</v>
      </c>
      <c r="J11" s="66">
        <v>2</v>
      </c>
      <c r="K11" s="67">
        <f t="shared" si="2"/>
        <v>184151.99</v>
      </c>
      <c r="L11" s="67">
        <f t="shared" si="3"/>
        <v>29464.3184</v>
      </c>
      <c r="M11" s="67">
        <f t="shared" si="4"/>
        <v>427232.61679999996</v>
      </c>
      <c r="N11" s="66">
        <v>1</v>
      </c>
      <c r="O11" s="67">
        <f t="shared" si="5"/>
        <v>190891.952834</v>
      </c>
      <c r="P11" s="67">
        <f t="shared" si="6"/>
        <v>30542.712453439999</v>
      </c>
      <c r="Q11" s="67">
        <f t="shared" si="7"/>
        <v>221434.66528744</v>
      </c>
    </row>
    <row r="12" spans="1:17" ht="60" customHeight="1" x14ac:dyDescent="0.3">
      <c r="A12" s="65" t="s">
        <v>52</v>
      </c>
      <c r="B12" s="65" t="s">
        <v>53</v>
      </c>
      <c r="C12" s="65" t="s">
        <v>54</v>
      </c>
      <c r="D12" s="66">
        <v>85.09</v>
      </c>
      <c r="E12" s="66"/>
      <c r="F12" s="66">
        <v>1</v>
      </c>
      <c r="G12" s="67">
        <v>156750</v>
      </c>
      <c r="H12" s="67">
        <f t="shared" si="0"/>
        <v>25080</v>
      </c>
      <c r="I12" s="67">
        <f t="shared" si="1"/>
        <v>181830</v>
      </c>
      <c r="J12" s="66">
        <v>2</v>
      </c>
      <c r="K12" s="67">
        <f t="shared" si="2"/>
        <v>162487.04999999999</v>
      </c>
      <c r="L12" s="67">
        <f t="shared" si="3"/>
        <v>25997.928</v>
      </c>
      <c r="M12" s="67">
        <f t="shared" si="4"/>
        <v>376969.95600000001</v>
      </c>
      <c r="N12" s="66">
        <v>1</v>
      </c>
      <c r="O12" s="67">
        <f t="shared" si="5"/>
        <v>168434.07603</v>
      </c>
      <c r="P12" s="67">
        <f t="shared" si="6"/>
        <v>26949.452164800001</v>
      </c>
      <c r="Q12" s="67">
        <f t="shared" si="7"/>
        <v>195383.52819479999</v>
      </c>
    </row>
    <row r="13" spans="1:17" ht="24" customHeight="1" x14ac:dyDescent="0.3">
      <c r="A13" s="65" t="s">
        <v>55</v>
      </c>
      <c r="B13" s="65" t="s">
        <v>56</v>
      </c>
      <c r="C13" s="65" t="s">
        <v>57</v>
      </c>
      <c r="D13" s="66">
        <v>100</v>
      </c>
      <c r="E13" s="66"/>
      <c r="F13" s="66">
        <v>1</v>
      </c>
      <c r="G13" s="67">
        <v>240350</v>
      </c>
      <c r="H13" s="67">
        <f t="shared" si="0"/>
        <v>38456</v>
      </c>
      <c r="I13" s="67">
        <f t="shared" si="1"/>
        <v>278806</v>
      </c>
      <c r="J13" s="66">
        <v>2</v>
      </c>
      <c r="K13" s="67">
        <f t="shared" si="2"/>
        <v>249146.81</v>
      </c>
      <c r="L13" s="67">
        <f t="shared" si="3"/>
        <v>39863.489600000001</v>
      </c>
      <c r="M13" s="67">
        <f t="shared" si="4"/>
        <v>578020.59920000006</v>
      </c>
      <c r="N13" s="66">
        <v>1</v>
      </c>
      <c r="O13" s="67">
        <f t="shared" si="5"/>
        <v>258265.58324599999</v>
      </c>
      <c r="P13" s="67">
        <f t="shared" si="6"/>
        <v>41322.493319360001</v>
      </c>
      <c r="Q13" s="67">
        <f t="shared" si="7"/>
        <v>299588.07656536001</v>
      </c>
    </row>
    <row r="14" spans="1:17" ht="66" customHeight="1" x14ac:dyDescent="0.3">
      <c r="A14" s="65" t="s">
        <v>58</v>
      </c>
      <c r="B14" s="65" t="s">
        <v>59</v>
      </c>
      <c r="C14" s="65" t="s">
        <v>60</v>
      </c>
      <c r="D14" s="66">
        <v>74.92</v>
      </c>
      <c r="E14" s="66"/>
      <c r="F14" s="66">
        <v>1</v>
      </c>
      <c r="G14" s="67">
        <v>156750</v>
      </c>
      <c r="H14" s="67">
        <f t="shared" si="0"/>
        <v>25080</v>
      </c>
      <c r="I14" s="67">
        <f t="shared" si="1"/>
        <v>181830</v>
      </c>
      <c r="J14" s="66">
        <v>2</v>
      </c>
      <c r="K14" s="67">
        <f t="shared" si="2"/>
        <v>162487.04999999999</v>
      </c>
      <c r="L14" s="67">
        <f t="shared" si="3"/>
        <v>25997.928</v>
      </c>
      <c r="M14" s="67">
        <f t="shared" si="4"/>
        <v>376969.95600000001</v>
      </c>
      <c r="N14" s="66">
        <v>1</v>
      </c>
      <c r="O14" s="67">
        <f t="shared" si="5"/>
        <v>168434.07603</v>
      </c>
      <c r="P14" s="67">
        <f t="shared" si="6"/>
        <v>26949.452164800001</v>
      </c>
      <c r="Q14" s="67">
        <f t="shared" si="7"/>
        <v>195383.52819479999</v>
      </c>
    </row>
    <row r="15" spans="1:17" ht="54" x14ac:dyDescent="0.3">
      <c r="A15" s="65" t="s">
        <v>61</v>
      </c>
      <c r="B15" s="65" t="s">
        <v>62</v>
      </c>
      <c r="C15" s="65" t="s">
        <v>63</v>
      </c>
      <c r="D15" s="66">
        <v>100</v>
      </c>
      <c r="E15" s="66"/>
      <c r="F15" s="66">
        <v>1</v>
      </c>
      <c r="G15" s="67">
        <v>220000</v>
      </c>
      <c r="H15" s="67"/>
      <c r="I15" s="67">
        <f t="shared" si="1"/>
        <v>220000</v>
      </c>
      <c r="J15" s="66">
        <v>2</v>
      </c>
      <c r="K15" s="67">
        <f t="shared" si="2"/>
        <v>228052</v>
      </c>
      <c r="L15" s="67"/>
      <c r="M15" s="67">
        <f t="shared" si="4"/>
        <v>456104</v>
      </c>
      <c r="N15" s="66">
        <v>1</v>
      </c>
      <c r="O15" s="67">
        <f t="shared" si="5"/>
        <v>236398.70319999999</v>
      </c>
      <c r="P15" s="67"/>
      <c r="Q15" s="67">
        <f t="shared" si="7"/>
        <v>236398.70319999999</v>
      </c>
    </row>
    <row r="16" spans="1:17" ht="36" customHeight="1" x14ac:dyDescent="0.3">
      <c r="A16" s="65" t="s">
        <v>64</v>
      </c>
      <c r="B16" s="65" t="s">
        <v>65</v>
      </c>
      <c r="C16" s="65" t="s">
        <v>66</v>
      </c>
      <c r="D16" s="66">
        <v>165.45</v>
      </c>
      <c r="E16" s="66"/>
      <c r="F16" s="66">
        <v>1</v>
      </c>
      <c r="G16" s="67">
        <v>144210</v>
      </c>
      <c r="H16" s="67">
        <f t="shared" si="0"/>
        <v>23073.600000000002</v>
      </c>
      <c r="I16" s="67">
        <f t="shared" si="1"/>
        <v>167283.6</v>
      </c>
      <c r="J16" s="66">
        <v>2</v>
      </c>
      <c r="K16" s="67">
        <f t="shared" si="2"/>
        <v>149488.08600000001</v>
      </c>
      <c r="L16" s="67">
        <f t="shared" si="3"/>
        <v>23918.093760000003</v>
      </c>
      <c r="M16" s="67">
        <f t="shared" si="4"/>
        <v>346812.35952000006</v>
      </c>
      <c r="N16" s="66">
        <v>1</v>
      </c>
      <c r="O16" s="67">
        <f t="shared" si="5"/>
        <v>154959.34994760001</v>
      </c>
      <c r="P16" s="67">
        <f t="shared" si="6"/>
        <v>24793.495991616004</v>
      </c>
      <c r="Q16" s="67">
        <f t="shared" si="7"/>
        <v>179752.84593921603</v>
      </c>
    </row>
    <row r="17" spans="1:17" ht="60" customHeight="1" x14ac:dyDescent="0.3">
      <c r="A17" s="65" t="s">
        <v>64</v>
      </c>
      <c r="B17" s="65" t="s">
        <v>67</v>
      </c>
      <c r="C17" s="65" t="s">
        <v>68</v>
      </c>
      <c r="D17" s="66" t="s">
        <v>69</v>
      </c>
      <c r="E17" s="66"/>
      <c r="F17" s="66">
        <v>1</v>
      </c>
      <c r="G17" s="67">
        <v>150000</v>
      </c>
      <c r="H17" s="67">
        <f t="shared" si="0"/>
        <v>24000</v>
      </c>
      <c r="I17" s="67">
        <f t="shared" si="1"/>
        <v>174000</v>
      </c>
      <c r="J17" s="66">
        <v>2</v>
      </c>
      <c r="K17" s="67">
        <f t="shared" si="2"/>
        <v>155490</v>
      </c>
      <c r="L17" s="67">
        <f t="shared" si="3"/>
        <v>24878.400000000001</v>
      </c>
      <c r="M17" s="67">
        <f t="shared" si="4"/>
        <v>360736.8</v>
      </c>
      <c r="N17" s="66">
        <v>1</v>
      </c>
      <c r="O17" s="67">
        <f t="shared" si="5"/>
        <v>161180.93400000001</v>
      </c>
      <c r="P17" s="67">
        <f t="shared" si="6"/>
        <v>25788.94944</v>
      </c>
      <c r="Q17" s="67">
        <f t="shared" si="7"/>
        <v>186969.88344000001</v>
      </c>
    </row>
    <row r="18" spans="1:17" ht="40.5" x14ac:dyDescent="0.3">
      <c r="A18" s="65" t="s">
        <v>70</v>
      </c>
      <c r="B18" s="65" t="s">
        <v>71</v>
      </c>
      <c r="C18" s="65" t="s">
        <v>72</v>
      </c>
      <c r="D18" s="66">
        <v>109.63</v>
      </c>
      <c r="E18" s="66"/>
      <c r="F18" s="66">
        <v>1</v>
      </c>
      <c r="G18" s="67">
        <v>182875</v>
      </c>
      <c r="H18" s="67">
        <f t="shared" si="0"/>
        <v>29260</v>
      </c>
      <c r="I18" s="67">
        <f t="shared" si="1"/>
        <v>212135</v>
      </c>
      <c r="J18" s="66">
        <v>2</v>
      </c>
      <c r="K18" s="67">
        <f t="shared" si="2"/>
        <v>189568.22500000001</v>
      </c>
      <c r="L18" s="67">
        <f t="shared" si="3"/>
        <v>30330.916000000001</v>
      </c>
      <c r="M18" s="67">
        <f t="shared" si="4"/>
        <v>439798.28200000001</v>
      </c>
      <c r="N18" s="66">
        <v>1</v>
      </c>
      <c r="O18" s="67">
        <f t="shared" si="5"/>
        <v>196506.422035</v>
      </c>
      <c r="P18" s="67">
        <f t="shared" si="6"/>
        <v>31441.027525599999</v>
      </c>
      <c r="Q18" s="67">
        <f t="shared" si="7"/>
        <v>227947.44956059998</v>
      </c>
    </row>
    <row r="19" spans="1:17" ht="27" x14ac:dyDescent="0.3">
      <c r="A19" s="65" t="s">
        <v>73</v>
      </c>
      <c r="B19" s="65" t="s">
        <v>74</v>
      </c>
      <c r="C19" s="65" t="s">
        <v>75</v>
      </c>
      <c r="D19" s="66">
        <v>472.02</v>
      </c>
      <c r="E19" s="66">
        <v>139.32</v>
      </c>
      <c r="F19" s="66">
        <v>1</v>
      </c>
      <c r="G19" s="67">
        <v>182875</v>
      </c>
      <c r="H19" s="67">
        <f t="shared" si="0"/>
        <v>29260</v>
      </c>
      <c r="I19" s="67">
        <f t="shared" si="1"/>
        <v>212135</v>
      </c>
      <c r="J19" s="66">
        <v>2</v>
      </c>
      <c r="K19" s="67">
        <f t="shared" si="2"/>
        <v>189568.22500000001</v>
      </c>
      <c r="L19" s="67">
        <f t="shared" si="3"/>
        <v>30330.916000000001</v>
      </c>
      <c r="M19" s="67">
        <f t="shared" si="4"/>
        <v>439798.28200000001</v>
      </c>
      <c r="N19" s="66">
        <v>1</v>
      </c>
      <c r="O19" s="67">
        <f t="shared" si="5"/>
        <v>196506.422035</v>
      </c>
      <c r="P19" s="67">
        <f t="shared" si="6"/>
        <v>31441.027525599999</v>
      </c>
      <c r="Q19" s="67">
        <f t="shared" si="7"/>
        <v>227947.44956059998</v>
      </c>
    </row>
    <row r="20" spans="1:17" ht="48" customHeight="1" x14ac:dyDescent="0.3">
      <c r="A20" s="65" t="s">
        <v>64</v>
      </c>
      <c r="B20" s="65" t="s">
        <v>76</v>
      </c>
      <c r="C20" s="65" t="s">
        <v>77</v>
      </c>
      <c r="D20" s="66">
        <v>123.56</v>
      </c>
      <c r="E20" s="66"/>
      <c r="F20" s="66">
        <v>1</v>
      </c>
      <c r="G20" s="67">
        <v>170000</v>
      </c>
      <c r="H20" s="67">
        <f t="shared" si="0"/>
        <v>27200</v>
      </c>
      <c r="I20" s="67">
        <f t="shared" si="1"/>
        <v>197200</v>
      </c>
      <c r="J20" s="66">
        <v>2</v>
      </c>
      <c r="K20" s="67">
        <f t="shared" si="2"/>
        <v>176222</v>
      </c>
      <c r="L20" s="67">
        <f t="shared" si="3"/>
        <v>28195.52</v>
      </c>
      <c r="M20" s="67">
        <f t="shared" si="4"/>
        <v>408835.04</v>
      </c>
      <c r="N20" s="66">
        <v>1</v>
      </c>
      <c r="O20" s="67">
        <f t="shared" si="5"/>
        <v>182671.72519999999</v>
      </c>
      <c r="P20" s="67">
        <f t="shared" si="6"/>
        <v>29227.476031999999</v>
      </c>
      <c r="Q20" s="67">
        <f t="shared" si="7"/>
        <v>211899.20123199999</v>
      </c>
    </row>
    <row r="21" spans="1:17" ht="60" customHeight="1" x14ac:dyDescent="0.3">
      <c r="A21" s="65" t="s">
        <v>78</v>
      </c>
      <c r="B21" s="65" t="s">
        <v>79</v>
      </c>
      <c r="C21" s="65" t="s">
        <v>80</v>
      </c>
      <c r="D21" s="66">
        <v>100</v>
      </c>
      <c r="E21" s="66"/>
      <c r="F21" s="66">
        <v>1</v>
      </c>
      <c r="G21" s="67">
        <v>182875</v>
      </c>
      <c r="H21" s="67">
        <f t="shared" si="0"/>
        <v>29260</v>
      </c>
      <c r="I21" s="67">
        <f t="shared" si="1"/>
        <v>212135</v>
      </c>
      <c r="J21" s="66">
        <v>2</v>
      </c>
      <c r="K21" s="67">
        <f t="shared" si="2"/>
        <v>189568.22500000001</v>
      </c>
      <c r="L21" s="67">
        <f t="shared" si="3"/>
        <v>30330.916000000001</v>
      </c>
      <c r="M21" s="67">
        <f t="shared" si="4"/>
        <v>439798.28200000001</v>
      </c>
      <c r="N21" s="66">
        <v>1</v>
      </c>
      <c r="O21" s="67">
        <f t="shared" si="5"/>
        <v>196506.422035</v>
      </c>
      <c r="P21" s="67">
        <f t="shared" si="6"/>
        <v>31441.027525599999</v>
      </c>
      <c r="Q21" s="67">
        <f t="shared" si="7"/>
        <v>227947.44956059998</v>
      </c>
    </row>
    <row r="22" spans="1:17" ht="36" customHeight="1" x14ac:dyDescent="0.3">
      <c r="A22" s="65" t="s">
        <v>81</v>
      </c>
      <c r="B22" s="65" t="s">
        <v>82</v>
      </c>
      <c r="C22" s="65" t="s">
        <v>83</v>
      </c>
      <c r="D22" s="66">
        <v>345.73</v>
      </c>
      <c r="E22" s="66"/>
      <c r="F22" s="66">
        <v>1</v>
      </c>
      <c r="G22" s="67">
        <v>135850</v>
      </c>
      <c r="H22" s="67">
        <f t="shared" si="0"/>
        <v>21736</v>
      </c>
      <c r="I22" s="67">
        <f t="shared" si="1"/>
        <v>157586</v>
      </c>
      <c r="J22" s="66">
        <v>2</v>
      </c>
      <c r="K22" s="67">
        <f t="shared" si="2"/>
        <v>140822.10999999999</v>
      </c>
      <c r="L22" s="67">
        <f t="shared" si="3"/>
        <v>22531.5376</v>
      </c>
      <c r="M22" s="67">
        <f t="shared" si="4"/>
        <v>326707.29519999999</v>
      </c>
      <c r="N22" s="66">
        <v>1</v>
      </c>
      <c r="O22" s="67">
        <f t="shared" si="5"/>
        <v>145976.199226</v>
      </c>
      <c r="P22" s="67">
        <f t="shared" si="6"/>
        <v>23356.191876159999</v>
      </c>
      <c r="Q22" s="67">
        <f t="shared" si="7"/>
        <v>169332.39110216001</v>
      </c>
    </row>
    <row r="23" spans="1:17" ht="72" customHeight="1" x14ac:dyDescent="0.3">
      <c r="A23" s="65" t="s">
        <v>84</v>
      </c>
      <c r="B23" s="65" t="s">
        <v>85</v>
      </c>
      <c r="C23" s="65" t="s">
        <v>86</v>
      </c>
      <c r="D23" s="66">
        <v>106.5</v>
      </c>
      <c r="E23" s="66"/>
      <c r="F23" s="66">
        <v>1</v>
      </c>
      <c r="G23" s="67">
        <v>84123</v>
      </c>
      <c r="H23" s="67">
        <f t="shared" si="0"/>
        <v>13459.68</v>
      </c>
      <c r="I23" s="67">
        <f t="shared" si="1"/>
        <v>97582.68</v>
      </c>
      <c r="J23" s="66">
        <v>2</v>
      </c>
      <c r="K23" s="68">
        <f t="shared" si="2"/>
        <v>87201.901800000007</v>
      </c>
      <c r="L23" s="68">
        <f t="shared" si="3"/>
        <v>13952.304288000001</v>
      </c>
      <c r="M23" s="68">
        <f t="shared" si="4"/>
        <v>202308.41217600001</v>
      </c>
      <c r="N23" s="66">
        <v>1</v>
      </c>
      <c r="O23" s="67">
        <f t="shared" si="5"/>
        <v>90393.491405880006</v>
      </c>
      <c r="P23" s="67">
        <f t="shared" si="6"/>
        <v>14462.958624940802</v>
      </c>
      <c r="Q23" s="67">
        <f t="shared" si="7"/>
        <v>104856.45003082081</v>
      </c>
    </row>
    <row r="24" spans="1:17" ht="27" x14ac:dyDescent="0.3">
      <c r="A24" s="65" t="s">
        <v>87</v>
      </c>
      <c r="B24" s="65" t="s">
        <v>88</v>
      </c>
      <c r="C24" s="65" t="s">
        <v>89</v>
      </c>
      <c r="D24" s="66">
        <v>275.43</v>
      </c>
      <c r="E24" s="66"/>
      <c r="F24" s="66">
        <v>1</v>
      </c>
      <c r="G24" s="67">
        <v>182875</v>
      </c>
      <c r="H24" s="67">
        <f t="shared" si="0"/>
        <v>29260</v>
      </c>
      <c r="I24" s="67">
        <f t="shared" si="1"/>
        <v>212135</v>
      </c>
      <c r="J24" s="66">
        <v>2</v>
      </c>
      <c r="K24" s="67">
        <f t="shared" si="2"/>
        <v>189568.22500000001</v>
      </c>
      <c r="L24" s="67">
        <f t="shared" si="3"/>
        <v>30330.916000000001</v>
      </c>
      <c r="M24" s="67">
        <f t="shared" si="4"/>
        <v>439798.28200000001</v>
      </c>
      <c r="N24" s="66">
        <v>1</v>
      </c>
      <c r="O24" s="67">
        <f t="shared" si="5"/>
        <v>196506.422035</v>
      </c>
      <c r="P24" s="67">
        <f t="shared" si="6"/>
        <v>31441.027525599999</v>
      </c>
      <c r="Q24" s="67">
        <f t="shared" si="7"/>
        <v>227947.44956059998</v>
      </c>
    </row>
    <row r="25" spans="1:17" ht="36" customHeight="1" x14ac:dyDescent="0.3">
      <c r="A25" s="65" t="s">
        <v>90</v>
      </c>
      <c r="B25" s="65" t="s">
        <v>91</v>
      </c>
      <c r="C25" s="65" t="s">
        <v>92</v>
      </c>
      <c r="D25" s="66">
        <v>100</v>
      </c>
      <c r="E25" s="66"/>
      <c r="F25" s="66">
        <v>1</v>
      </c>
      <c r="G25" s="67">
        <v>195000</v>
      </c>
      <c r="H25" s="67">
        <f t="shared" si="0"/>
        <v>31200</v>
      </c>
      <c r="I25" s="67">
        <f t="shared" si="1"/>
        <v>226200</v>
      </c>
      <c r="J25" s="66">
        <v>2</v>
      </c>
      <c r="K25" s="67">
        <f t="shared" si="2"/>
        <v>202137</v>
      </c>
      <c r="L25" s="67">
        <f t="shared" si="3"/>
        <v>32341.920000000002</v>
      </c>
      <c r="M25" s="67">
        <f t="shared" si="4"/>
        <v>468957.84</v>
      </c>
      <c r="N25" s="66">
        <v>1</v>
      </c>
      <c r="O25" s="67">
        <f t="shared" si="5"/>
        <v>209535.21419999999</v>
      </c>
      <c r="P25" s="67">
        <f t="shared" si="6"/>
        <v>33525.634271999996</v>
      </c>
      <c r="Q25" s="67">
        <f t="shared" si="7"/>
        <v>243060.84847199998</v>
      </c>
    </row>
    <row r="26" spans="1:17" ht="57" customHeight="1" x14ac:dyDescent="0.3">
      <c r="A26" s="65" t="s">
        <v>93</v>
      </c>
      <c r="B26" s="65" t="s">
        <v>94</v>
      </c>
      <c r="C26" s="65" t="s">
        <v>95</v>
      </c>
      <c r="D26" s="66">
        <v>110.2</v>
      </c>
      <c r="E26" s="66"/>
      <c r="F26" s="66">
        <v>1</v>
      </c>
      <c r="G26" s="67">
        <v>84123</v>
      </c>
      <c r="H26" s="67">
        <f t="shared" si="0"/>
        <v>13459.68</v>
      </c>
      <c r="I26" s="67">
        <f t="shared" si="1"/>
        <v>97582.68</v>
      </c>
      <c r="J26" s="66">
        <v>2</v>
      </c>
      <c r="K26" s="67">
        <f t="shared" si="2"/>
        <v>87201.901800000007</v>
      </c>
      <c r="L26" s="67">
        <f t="shared" si="3"/>
        <v>13952.304288000001</v>
      </c>
      <c r="M26" s="67">
        <f t="shared" si="4"/>
        <v>202308.41217600001</v>
      </c>
      <c r="N26" s="66">
        <v>1</v>
      </c>
      <c r="O26" s="67">
        <f t="shared" si="5"/>
        <v>90393.491405880006</v>
      </c>
      <c r="P26" s="67">
        <f t="shared" si="6"/>
        <v>14462.958624940802</v>
      </c>
      <c r="Q26" s="67">
        <f t="shared" si="7"/>
        <v>104856.45003082081</v>
      </c>
    </row>
    <row r="27" spans="1:17" ht="60" customHeight="1" x14ac:dyDescent="0.3">
      <c r="A27" s="65" t="s">
        <v>96</v>
      </c>
      <c r="B27" s="65" t="s">
        <v>97</v>
      </c>
      <c r="C27" s="65" t="s">
        <v>98</v>
      </c>
      <c r="D27" s="66">
        <v>270.63</v>
      </c>
      <c r="E27" s="66"/>
      <c r="F27" s="66">
        <v>1</v>
      </c>
      <c r="G27" s="67">
        <v>125400</v>
      </c>
      <c r="H27" s="67">
        <f t="shared" si="0"/>
        <v>20064</v>
      </c>
      <c r="I27" s="67">
        <f t="shared" si="1"/>
        <v>145464</v>
      </c>
      <c r="J27" s="66">
        <v>2</v>
      </c>
      <c r="K27" s="67">
        <f t="shared" si="2"/>
        <v>129989.64</v>
      </c>
      <c r="L27" s="67">
        <f t="shared" si="3"/>
        <v>20798.342400000001</v>
      </c>
      <c r="M27" s="67">
        <f t="shared" si="4"/>
        <v>301575.96480000002</v>
      </c>
      <c r="N27" s="66">
        <v>1</v>
      </c>
      <c r="O27" s="67">
        <f t="shared" si="5"/>
        <v>134747.260824</v>
      </c>
      <c r="P27" s="67">
        <f t="shared" si="6"/>
        <v>21559.56173184</v>
      </c>
      <c r="Q27" s="67">
        <f t="shared" si="7"/>
        <v>156306.82255583999</v>
      </c>
    </row>
    <row r="28" spans="1:17" ht="60" customHeight="1" x14ac:dyDescent="0.3">
      <c r="A28" s="65" t="s">
        <v>99</v>
      </c>
      <c r="B28" s="65" t="s">
        <v>100</v>
      </c>
      <c r="C28" s="65" t="s">
        <v>101</v>
      </c>
      <c r="D28" s="66">
        <v>157.72999999999999</v>
      </c>
      <c r="E28" s="66"/>
      <c r="F28" s="66">
        <v>1</v>
      </c>
      <c r="G28" s="67">
        <v>120175</v>
      </c>
      <c r="H28" s="67">
        <f t="shared" si="0"/>
        <v>19228</v>
      </c>
      <c r="I28" s="67">
        <f t="shared" si="1"/>
        <v>139403</v>
      </c>
      <c r="J28" s="66">
        <v>2</v>
      </c>
      <c r="K28" s="67">
        <f t="shared" si="2"/>
        <v>124573.405</v>
      </c>
      <c r="L28" s="67">
        <f t="shared" si="3"/>
        <v>19931.7448</v>
      </c>
      <c r="M28" s="67">
        <f t="shared" si="4"/>
        <v>289010.29960000003</v>
      </c>
      <c r="N28" s="66">
        <v>1</v>
      </c>
      <c r="O28" s="67">
        <f t="shared" si="5"/>
        <v>129132.791623</v>
      </c>
      <c r="P28" s="67">
        <f t="shared" si="6"/>
        <v>20661.24665968</v>
      </c>
      <c r="Q28" s="67">
        <f t="shared" si="7"/>
        <v>149794.03828268001</v>
      </c>
    </row>
    <row r="29" spans="1:17" ht="48" customHeight="1" x14ac:dyDescent="0.3">
      <c r="A29" s="65" t="s">
        <v>102</v>
      </c>
      <c r="B29" s="65" t="s">
        <v>103</v>
      </c>
      <c r="C29" s="65" t="s">
        <v>104</v>
      </c>
      <c r="D29" s="66">
        <v>92.37</v>
      </c>
      <c r="E29" s="66"/>
      <c r="F29" s="66">
        <v>1</v>
      </c>
      <c r="G29" s="67">
        <v>104500</v>
      </c>
      <c r="H29" s="67">
        <f t="shared" si="0"/>
        <v>16720</v>
      </c>
      <c r="I29" s="67">
        <f t="shared" si="1"/>
        <v>121220</v>
      </c>
      <c r="J29" s="66">
        <v>2</v>
      </c>
      <c r="K29" s="67">
        <f t="shared" si="2"/>
        <v>108324.7</v>
      </c>
      <c r="L29" s="67">
        <f t="shared" si="3"/>
        <v>17331.952000000001</v>
      </c>
      <c r="M29" s="67">
        <f t="shared" si="4"/>
        <v>251313.304</v>
      </c>
      <c r="N29" s="66">
        <v>1</v>
      </c>
      <c r="O29" s="67">
        <f t="shared" si="5"/>
        <v>112289.38402</v>
      </c>
      <c r="P29" s="67">
        <f t="shared" si="6"/>
        <v>17966.301443200002</v>
      </c>
      <c r="Q29" s="67">
        <f t="shared" si="7"/>
        <v>130255.6854632</v>
      </c>
    </row>
    <row r="30" spans="1:17" ht="76.5" customHeight="1" x14ac:dyDescent="0.3">
      <c r="A30" s="65" t="s">
        <v>105</v>
      </c>
      <c r="B30" s="65" t="s">
        <v>106</v>
      </c>
      <c r="C30" s="65" t="s">
        <v>107</v>
      </c>
      <c r="D30" s="66">
        <v>18</v>
      </c>
      <c r="E30" s="66"/>
      <c r="F30" s="66">
        <v>1</v>
      </c>
      <c r="G30" s="67">
        <v>260000</v>
      </c>
      <c r="H30" s="67">
        <f t="shared" si="0"/>
        <v>41600</v>
      </c>
      <c r="I30" s="67">
        <f t="shared" si="1"/>
        <v>301600</v>
      </c>
      <c r="J30" s="66">
        <v>2</v>
      </c>
      <c r="K30" s="67">
        <f t="shared" si="2"/>
        <v>269516</v>
      </c>
      <c r="L30" s="67">
        <f t="shared" si="3"/>
        <v>43122.559999999998</v>
      </c>
      <c r="M30" s="67">
        <f t="shared" si="4"/>
        <v>625277.12</v>
      </c>
      <c r="N30" s="66">
        <v>1</v>
      </c>
      <c r="O30" s="67">
        <f t="shared" si="5"/>
        <v>279380.2856</v>
      </c>
      <c r="P30" s="67">
        <f t="shared" si="6"/>
        <v>44700.845696000004</v>
      </c>
      <c r="Q30" s="67">
        <f t="shared" si="7"/>
        <v>324081.13129599998</v>
      </c>
    </row>
    <row r="31" spans="1:17" x14ac:dyDescent="0.3">
      <c r="A31" s="154" t="s">
        <v>108</v>
      </c>
      <c r="B31" s="154" t="s">
        <v>109</v>
      </c>
      <c r="C31" s="65" t="s">
        <v>110</v>
      </c>
      <c r="D31" s="69">
        <v>468.1</v>
      </c>
      <c r="E31" s="66"/>
      <c r="F31" s="148">
        <v>1</v>
      </c>
      <c r="G31" s="67">
        <v>88003</v>
      </c>
      <c r="H31" s="67">
        <f t="shared" si="0"/>
        <v>14080.48</v>
      </c>
      <c r="I31" s="67">
        <f t="shared" si="1"/>
        <v>102083.48</v>
      </c>
      <c r="J31" s="148">
        <v>2</v>
      </c>
      <c r="K31" s="67">
        <f t="shared" si="2"/>
        <v>91223.909799999994</v>
      </c>
      <c r="L31" s="67">
        <f t="shared" si="3"/>
        <v>14595.825568</v>
      </c>
      <c r="M31" s="67">
        <f t="shared" si="4"/>
        <v>211639.47073599999</v>
      </c>
      <c r="N31" s="66">
        <v>1</v>
      </c>
      <c r="O31" s="67">
        <f t="shared" si="5"/>
        <v>94562.704898679993</v>
      </c>
      <c r="P31" s="67">
        <f t="shared" si="6"/>
        <v>15130.0327837888</v>
      </c>
      <c r="Q31" s="67">
        <f t="shared" si="7"/>
        <v>109692.7376824688</v>
      </c>
    </row>
    <row r="32" spans="1:17" x14ac:dyDescent="0.3">
      <c r="A32" s="154"/>
      <c r="B32" s="154"/>
      <c r="C32" s="65" t="s">
        <v>111</v>
      </c>
      <c r="D32" s="69">
        <v>1472.59</v>
      </c>
      <c r="E32" s="66"/>
      <c r="F32" s="149"/>
      <c r="G32" s="67">
        <v>276847</v>
      </c>
      <c r="H32" s="67">
        <f t="shared" si="0"/>
        <v>44295.520000000004</v>
      </c>
      <c r="I32" s="67">
        <f t="shared" si="1"/>
        <v>321142.52</v>
      </c>
      <c r="J32" s="149"/>
      <c r="K32" s="67">
        <f t="shared" si="2"/>
        <v>286979.60019999999</v>
      </c>
      <c r="L32" s="67">
        <f t="shared" si="3"/>
        <v>45916.736032000001</v>
      </c>
      <c r="M32" s="67">
        <f>(L32+K32)*J31</f>
        <v>665792.67246399994</v>
      </c>
      <c r="N32" s="66">
        <v>1</v>
      </c>
      <c r="O32" s="67">
        <f t="shared" si="5"/>
        <v>297483.05356731999</v>
      </c>
      <c r="P32" s="67">
        <f t="shared" si="6"/>
        <v>47597.288570771198</v>
      </c>
      <c r="Q32" s="67">
        <f t="shared" si="7"/>
        <v>345080.34213809122</v>
      </c>
    </row>
    <row r="33" spans="1:17" x14ac:dyDescent="0.3">
      <c r="A33" s="154"/>
      <c r="B33" s="154"/>
      <c r="C33" s="65" t="s">
        <v>112</v>
      </c>
      <c r="D33" s="69"/>
      <c r="E33" s="66">
        <v>675.82</v>
      </c>
      <c r="F33" s="149"/>
      <c r="G33" s="67">
        <v>127054</v>
      </c>
      <c r="H33" s="67">
        <f t="shared" si="0"/>
        <v>20328.64</v>
      </c>
      <c r="I33" s="67">
        <f t="shared" si="1"/>
        <v>147382.64000000001</v>
      </c>
      <c r="J33" s="149"/>
      <c r="K33" s="67">
        <f t="shared" si="2"/>
        <v>131704.1764</v>
      </c>
      <c r="L33" s="67">
        <f t="shared" si="3"/>
        <v>21072.668224000001</v>
      </c>
      <c r="M33" s="67">
        <f>(L33+K33)*J31</f>
        <v>305553.68924799998</v>
      </c>
      <c r="N33" s="66">
        <v>1</v>
      </c>
      <c r="O33" s="67">
        <f t="shared" si="5"/>
        <v>136524.54925623999</v>
      </c>
      <c r="P33" s="67">
        <f t="shared" si="6"/>
        <v>21843.927880998399</v>
      </c>
      <c r="Q33" s="67">
        <f t="shared" si="7"/>
        <v>158368.4771372384</v>
      </c>
    </row>
    <row r="34" spans="1:17" x14ac:dyDescent="0.3">
      <c r="A34" s="154"/>
      <c r="B34" s="154"/>
      <c r="C34" s="65" t="s">
        <v>113</v>
      </c>
      <c r="D34" s="69">
        <v>211.02</v>
      </c>
      <c r="E34" s="66"/>
      <c r="F34" s="149"/>
      <c r="G34" s="67">
        <v>39672</v>
      </c>
      <c r="H34" s="67">
        <f t="shared" si="0"/>
        <v>6347.52</v>
      </c>
      <c r="I34" s="67">
        <f t="shared" si="1"/>
        <v>46019.520000000004</v>
      </c>
      <c r="J34" s="149"/>
      <c r="K34" s="67">
        <f t="shared" si="2"/>
        <v>41123.995199999998</v>
      </c>
      <c r="L34" s="67">
        <f t="shared" si="3"/>
        <v>6579.8392319999994</v>
      </c>
      <c r="M34" s="67">
        <f>(L34+K34)*J31</f>
        <v>95407.668863999992</v>
      </c>
      <c r="N34" s="66">
        <v>1</v>
      </c>
      <c r="O34" s="67">
        <f t="shared" si="5"/>
        <v>42629.133424319996</v>
      </c>
      <c r="P34" s="67">
        <f t="shared" si="6"/>
        <v>6820.6613478911995</v>
      </c>
      <c r="Q34" s="67">
        <f t="shared" si="7"/>
        <v>49449.794772211193</v>
      </c>
    </row>
    <row r="35" spans="1:17" x14ac:dyDescent="0.3">
      <c r="A35" s="154"/>
      <c r="B35" s="154"/>
      <c r="C35" s="65" t="s">
        <v>114</v>
      </c>
      <c r="D35" s="69">
        <v>573.64</v>
      </c>
      <c r="E35" s="66"/>
      <c r="F35" s="149"/>
      <c r="G35" s="67">
        <v>107844</v>
      </c>
      <c r="H35" s="67">
        <f t="shared" si="0"/>
        <v>17255.04</v>
      </c>
      <c r="I35" s="67">
        <f t="shared" si="1"/>
        <v>125099.04000000001</v>
      </c>
      <c r="J35" s="149"/>
      <c r="K35" s="67">
        <f t="shared" si="2"/>
        <v>111791.0904</v>
      </c>
      <c r="L35" s="67">
        <f t="shared" si="3"/>
        <v>17886.574464000001</v>
      </c>
      <c r="M35" s="67">
        <f>(L35+K35)*J31</f>
        <v>259355.32972800001</v>
      </c>
      <c r="N35" s="66">
        <v>1</v>
      </c>
      <c r="O35" s="67">
        <f t="shared" si="5"/>
        <v>115882.64430864</v>
      </c>
      <c r="P35" s="67">
        <f t="shared" si="6"/>
        <v>18541.223089382398</v>
      </c>
      <c r="Q35" s="67">
        <f t="shared" si="7"/>
        <v>134423.86739802238</v>
      </c>
    </row>
    <row r="36" spans="1:17" x14ac:dyDescent="0.3">
      <c r="A36" s="154"/>
      <c r="B36" s="154"/>
      <c r="C36" s="65" t="s">
        <v>115</v>
      </c>
      <c r="D36" s="69">
        <v>549.02</v>
      </c>
      <c r="E36" s="66"/>
      <c r="F36" s="149"/>
      <c r="G36" s="67">
        <v>103216</v>
      </c>
      <c r="H36" s="67">
        <f t="shared" si="0"/>
        <v>16514.560000000001</v>
      </c>
      <c r="I36" s="67">
        <f t="shared" si="1"/>
        <v>119730.56</v>
      </c>
      <c r="J36" s="149"/>
      <c r="K36" s="67">
        <f t="shared" si="2"/>
        <v>106993.7056</v>
      </c>
      <c r="L36" s="67">
        <f t="shared" si="3"/>
        <v>17118.992896</v>
      </c>
      <c r="M36" s="67">
        <f>(L36+K36)*J31</f>
        <v>248225.39699199999</v>
      </c>
      <c r="N36" s="66">
        <v>1</v>
      </c>
      <c r="O36" s="67">
        <f t="shared" si="5"/>
        <v>110909.67522496</v>
      </c>
      <c r="P36" s="67">
        <f t="shared" si="6"/>
        <v>17745.548035993601</v>
      </c>
      <c r="Q36" s="67">
        <f t="shared" si="7"/>
        <v>128655.2232609536</v>
      </c>
    </row>
    <row r="37" spans="1:17" x14ac:dyDescent="0.3">
      <c r="A37" s="154"/>
      <c r="B37" s="154"/>
      <c r="C37" s="65" t="s">
        <v>116</v>
      </c>
      <c r="D37" s="69">
        <v>549.02</v>
      </c>
      <c r="E37" s="66"/>
      <c r="F37" s="149"/>
      <c r="G37" s="67">
        <v>103216</v>
      </c>
      <c r="H37" s="67">
        <f t="shared" si="0"/>
        <v>16514.560000000001</v>
      </c>
      <c r="I37" s="67">
        <f t="shared" si="1"/>
        <v>119730.56</v>
      </c>
      <c r="J37" s="149"/>
      <c r="K37" s="67">
        <f t="shared" si="2"/>
        <v>106993.7056</v>
      </c>
      <c r="L37" s="67">
        <f t="shared" si="3"/>
        <v>17118.992896</v>
      </c>
      <c r="M37" s="67">
        <f>(L37+K37)*J31</f>
        <v>248225.39699199999</v>
      </c>
      <c r="N37" s="66">
        <v>1</v>
      </c>
      <c r="O37" s="67">
        <f t="shared" si="5"/>
        <v>110909.67522496</v>
      </c>
      <c r="P37" s="67">
        <f t="shared" si="6"/>
        <v>17745.548035993601</v>
      </c>
      <c r="Q37" s="67">
        <f t="shared" si="7"/>
        <v>128655.2232609536</v>
      </c>
    </row>
    <row r="38" spans="1:17" x14ac:dyDescent="0.3">
      <c r="A38" s="154"/>
      <c r="B38" s="154"/>
      <c r="C38" s="65" t="s">
        <v>117</v>
      </c>
      <c r="D38" s="69">
        <v>549.02</v>
      </c>
      <c r="E38" s="66"/>
      <c r="F38" s="149"/>
      <c r="G38" s="67">
        <v>103216</v>
      </c>
      <c r="H38" s="67">
        <f t="shared" si="0"/>
        <v>16514.560000000001</v>
      </c>
      <c r="I38" s="67">
        <f t="shared" si="1"/>
        <v>119730.56</v>
      </c>
      <c r="J38" s="149"/>
      <c r="K38" s="67">
        <f t="shared" si="2"/>
        <v>106993.7056</v>
      </c>
      <c r="L38" s="67">
        <f t="shared" si="3"/>
        <v>17118.992896</v>
      </c>
      <c r="M38" s="67">
        <f>(L38+K38)*J31</f>
        <v>248225.39699199999</v>
      </c>
      <c r="N38" s="66">
        <v>1</v>
      </c>
      <c r="O38" s="67">
        <f t="shared" si="5"/>
        <v>110909.67522496</v>
      </c>
      <c r="P38" s="67">
        <f t="shared" si="6"/>
        <v>17745.548035993601</v>
      </c>
      <c r="Q38" s="67">
        <f t="shared" si="7"/>
        <v>128655.2232609536</v>
      </c>
    </row>
    <row r="39" spans="1:17" x14ac:dyDescent="0.3">
      <c r="A39" s="154"/>
      <c r="B39" s="154"/>
      <c r="C39" s="65" t="s">
        <v>118</v>
      </c>
      <c r="D39" s="69">
        <v>549.02</v>
      </c>
      <c r="E39" s="66"/>
      <c r="F39" s="149"/>
      <c r="G39" s="67">
        <v>103216</v>
      </c>
      <c r="H39" s="67">
        <f t="shared" si="0"/>
        <v>16514.560000000001</v>
      </c>
      <c r="I39" s="67">
        <f t="shared" si="1"/>
        <v>119730.56</v>
      </c>
      <c r="J39" s="149"/>
      <c r="K39" s="67">
        <f t="shared" si="2"/>
        <v>106993.7056</v>
      </c>
      <c r="L39" s="67">
        <f t="shared" si="3"/>
        <v>17118.992896</v>
      </c>
      <c r="M39" s="67">
        <f>(L39+K39)*J31</f>
        <v>248225.39699199999</v>
      </c>
      <c r="N39" s="66">
        <v>1</v>
      </c>
      <c r="O39" s="67">
        <f t="shared" si="5"/>
        <v>110909.67522496</v>
      </c>
      <c r="P39" s="67">
        <f t="shared" si="6"/>
        <v>17745.548035993601</v>
      </c>
      <c r="Q39" s="67">
        <f t="shared" si="7"/>
        <v>128655.2232609536</v>
      </c>
    </row>
    <row r="40" spans="1:17" x14ac:dyDescent="0.3">
      <c r="A40" s="154"/>
      <c r="B40" s="154"/>
      <c r="C40" s="65" t="s">
        <v>119</v>
      </c>
      <c r="D40" s="69">
        <v>549.02</v>
      </c>
      <c r="E40" s="66"/>
      <c r="F40" s="149"/>
      <c r="G40" s="67">
        <v>103216</v>
      </c>
      <c r="H40" s="67">
        <f t="shared" si="0"/>
        <v>16514.560000000001</v>
      </c>
      <c r="I40" s="67">
        <f t="shared" si="1"/>
        <v>119730.56</v>
      </c>
      <c r="J40" s="149"/>
      <c r="K40" s="67">
        <f t="shared" si="2"/>
        <v>106993.7056</v>
      </c>
      <c r="L40" s="67">
        <f t="shared" si="3"/>
        <v>17118.992896</v>
      </c>
      <c r="M40" s="67">
        <f>(L40+K40)*J31</f>
        <v>248225.39699199999</v>
      </c>
      <c r="N40" s="66">
        <v>1</v>
      </c>
      <c r="O40" s="67">
        <f t="shared" si="5"/>
        <v>110909.67522496</v>
      </c>
      <c r="P40" s="67">
        <f t="shared" si="6"/>
        <v>17745.548035993601</v>
      </c>
      <c r="Q40" s="67">
        <f t="shared" si="7"/>
        <v>128655.2232609536</v>
      </c>
    </row>
    <row r="41" spans="1:17" x14ac:dyDescent="0.3">
      <c r="A41" s="154"/>
      <c r="B41" s="154"/>
      <c r="C41" s="65" t="s">
        <v>120</v>
      </c>
      <c r="D41" s="69">
        <v>549.02</v>
      </c>
      <c r="E41" s="66"/>
      <c r="F41" s="149"/>
      <c r="G41" s="67">
        <v>103216</v>
      </c>
      <c r="H41" s="67">
        <f t="shared" si="0"/>
        <v>16514.560000000001</v>
      </c>
      <c r="I41" s="67">
        <f t="shared" si="1"/>
        <v>119730.56</v>
      </c>
      <c r="J41" s="149"/>
      <c r="K41" s="67">
        <f t="shared" si="2"/>
        <v>106993.7056</v>
      </c>
      <c r="L41" s="67">
        <f t="shared" si="3"/>
        <v>17118.992896</v>
      </c>
      <c r="M41" s="67">
        <f>(L41+K41)*J31</f>
        <v>248225.39699199999</v>
      </c>
      <c r="N41" s="66">
        <v>1</v>
      </c>
      <c r="O41" s="67">
        <f t="shared" si="5"/>
        <v>110909.67522496</v>
      </c>
      <c r="P41" s="67">
        <f t="shared" si="6"/>
        <v>17745.548035993601</v>
      </c>
      <c r="Q41" s="67">
        <f t="shared" si="7"/>
        <v>128655.2232609536</v>
      </c>
    </row>
    <row r="42" spans="1:17" ht="27" x14ac:dyDescent="0.3">
      <c r="A42" s="154"/>
      <c r="B42" s="154"/>
      <c r="C42" s="65" t="s">
        <v>121</v>
      </c>
      <c r="D42" s="69">
        <v>292.3</v>
      </c>
      <c r="E42" s="66"/>
      <c r="F42" s="149"/>
      <c r="G42" s="67">
        <v>54952</v>
      </c>
      <c r="H42" s="67">
        <f t="shared" si="0"/>
        <v>8792.32</v>
      </c>
      <c r="I42" s="67">
        <f t="shared" si="1"/>
        <v>63744.32</v>
      </c>
      <c r="J42" s="149"/>
      <c r="K42" s="67">
        <f t="shared" si="2"/>
        <v>56963.243199999997</v>
      </c>
      <c r="L42" s="67">
        <f t="shared" si="3"/>
        <v>9114.1189119999999</v>
      </c>
      <c r="M42" s="67">
        <f>(L42+K42)*J31</f>
        <v>132154.72422400001</v>
      </c>
      <c r="N42" s="66">
        <v>1</v>
      </c>
      <c r="O42" s="67">
        <f t="shared" si="5"/>
        <v>59048.097901119996</v>
      </c>
      <c r="P42" s="67">
        <f t="shared" si="6"/>
        <v>9447.6956641792003</v>
      </c>
      <c r="Q42" s="67">
        <f t="shared" si="7"/>
        <v>68495.793565299202</v>
      </c>
    </row>
    <row r="43" spans="1:17" x14ac:dyDescent="0.3">
      <c r="A43" s="154"/>
      <c r="B43" s="154"/>
      <c r="C43" s="65" t="s">
        <v>122</v>
      </c>
      <c r="D43" s="66"/>
      <c r="E43" s="69">
        <v>256.72000000000003</v>
      </c>
      <c r="F43" s="150"/>
      <c r="G43" s="67">
        <v>48263</v>
      </c>
      <c r="H43" s="67">
        <f t="shared" si="0"/>
        <v>7722.08</v>
      </c>
      <c r="I43" s="67">
        <f t="shared" si="1"/>
        <v>55985.08</v>
      </c>
      <c r="J43" s="150"/>
      <c r="K43" s="67">
        <f t="shared" si="2"/>
        <v>50029.425799999997</v>
      </c>
      <c r="L43" s="67">
        <f t="shared" si="3"/>
        <v>8004.7081279999993</v>
      </c>
      <c r="M43" s="67">
        <f>(L43+K43)*J31</f>
        <v>116068.26785599999</v>
      </c>
      <c r="N43" s="66">
        <v>1</v>
      </c>
      <c r="O43" s="67">
        <f t="shared" si="5"/>
        <v>51860.502784279997</v>
      </c>
      <c r="P43" s="67">
        <f t="shared" si="6"/>
        <v>8297.6804454847988</v>
      </c>
      <c r="Q43" s="67">
        <f t="shared" si="7"/>
        <v>60158.183229764792</v>
      </c>
    </row>
    <row r="44" spans="1:17" ht="72.75" customHeight="1" x14ac:dyDescent="0.3">
      <c r="A44" s="35"/>
      <c r="B44" s="70"/>
      <c r="C44" s="70"/>
      <c r="D44" s="71"/>
      <c r="E44" s="71"/>
      <c r="F44" s="36"/>
      <c r="G44" s="151" t="s">
        <v>202</v>
      </c>
      <c r="H44" s="151"/>
      <c r="I44" s="72">
        <f>SUM(I4:I43)</f>
        <v>6715448.9199999981</v>
      </c>
      <c r="J44" s="73"/>
      <c r="K44" s="151" t="s">
        <v>127</v>
      </c>
      <c r="L44" s="151"/>
      <c r="M44" s="74">
        <f>SUM(M4:M43)</f>
        <v>13922468.700943997</v>
      </c>
      <c r="N44" s="73"/>
      <c r="O44" s="151" t="s">
        <v>135</v>
      </c>
      <c r="P44" s="151"/>
      <c r="Q44" s="74">
        <f>SUM(Q4:Q43)</f>
        <v>7216015.5276992787</v>
      </c>
    </row>
    <row r="45" spans="1:17" ht="12.75" customHeight="1" x14ac:dyDescent="0.3">
      <c r="A45" s="75"/>
      <c r="B45" s="75"/>
      <c r="C45" s="75"/>
      <c r="D45" s="76"/>
      <c r="E45" s="76"/>
      <c r="F45" s="77"/>
      <c r="G45" s="78"/>
      <c r="I45" s="79"/>
      <c r="Q45" s="80"/>
    </row>
    <row r="46" spans="1:17" ht="30.75" customHeight="1" x14ac:dyDescent="0.3">
      <c r="A46" s="81"/>
      <c r="B46" s="15"/>
      <c r="C46" s="15"/>
      <c r="D46" s="82"/>
      <c r="E46" s="82"/>
      <c r="F46" s="15"/>
      <c r="G46" s="159" t="s">
        <v>181</v>
      </c>
      <c r="H46" s="160"/>
      <c r="I46" s="160"/>
      <c r="J46" s="161"/>
      <c r="K46" s="166">
        <f>(I44+M44+Q44)</f>
        <v>27853933.14864327</v>
      </c>
      <c r="L46" s="167"/>
      <c r="M46" s="167"/>
      <c r="N46" s="167"/>
      <c r="O46" s="167"/>
      <c r="P46" s="167"/>
      <c r="Q46" s="168"/>
    </row>
    <row r="47" spans="1:17" ht="6.75" customHeight="1" x14ac:dyDescent="0.3">
      <c r="A47" s="15"/>
      <c r="B47" s="15"/>
      <c r="C47" s="15"/>
      <c r="D47" s="82"/>
      <c r="E47" s="82"/>
      <c r="F47" s="15"/>
      <c r="G47" s="152"/>
      <c r="H47" s="152"/>
      <c r="I47" s="77"/>
    </row>
    <row r="48" spans="1:17" ht="15" customHeight="1" x14ac:dyDescent="0.3">
      <c r="A48" s="171" t="s">
        <v>168</v>
      </c>
      <c r="B48" s="171"/>
      <c r="C48" s="171"/>
      <c r="D48" s="171"/>
      <c r="E48" s="171"/>
      <c r="F48" s="171"/>
      <c r="G48" s="171"/>
      <c r="H48" s="171"/>
      <c r="I48" s="171"/>
      <c r="J48" s="171"/>
      <c r="K48" s="171"/>
      <c r="L48" s="171"/>
      <c r="M48" s="171"/>
      <c r="N48" s="171"/>
      <c r="O48" s="171"/>
      <c r="P48" s="171"/>
      <c r="Q48" s="171"/>
    </row>
    <row r="49" spans="1:17" x14ac:dyDescent="0.3">
      <c r="A49" s="171"/>
      <c r="B49" s="171"/>
      <c r="C49" s="171"/>
      <c r="D49" s="171"/>
      <c r="E49" s="171"/>
      <c r="F49" s="171"/>
      <c r="G49" s="171"/>
      <c r="H49" s="171"/>
      <c r="I49" s="171"/>
      <c r="J49" s="171"/>
      <c r="K49" s="171"/>
      <c r="L49" s="171"/>
      <c r="M49" s="171"/>
      <c r="N49" s="171"/>
      <c r="O49" s="171"/>
      <c r="P49" s="171"/>
      <c r="Q49" s="171"/>
    </row>
    <row r="50" spans="1:17" ht="5.25" customHeight="1" x14ac:dyDescent="0.3">
      <c r="A50" s="1"/>
      <c r="B50" s="1"/>
      <c r="C50" s="1"/>
      <c r="D50" s="1"/>
      <c r="E50" s="1"/>
      <c r="F50" s="1"/>
      <c r="G50" s="1"/>
      <c r="H50" s="1"/>
    </row>
    <row r="51" spans="1:17" ht="54" x14ac:dyDescent="0.3">
      <c r="A51" s="30" t="s">
        <v>169</v>
      </c>
      <c r="B51" s="117" t="s">
        <v>170</v>
      </c>
      <c r="C51" s="117"/>
      <c r="D51" s="117"/>
      <c r="E51" s="117"/>
      <c r="F51" s="117"/>
      <c r="G51" s="117"/>
      <c r="H51" s="13" t="s">
        <v>171</v>
      </c>
    </row>
    <row r="52" spans="1:17" ht="27" x14ac:dyDescent="0.3">
      <c r="A52" s="17" t="s">
        <v>197</v>
      </c>
      <c r="B52" s="169" t="s">
        <v>198</v>
      </c>
      <c r="C52" s="170"/>
      <c r="D52" s="170"/>
      <c r="E52" s="170"/>
      <c r="F52" s="170"/>
      <c r="G52" s="170"/>
      <c r="H52" s="18" t="s">
        <v>201</v>
      </c>
    </row>
    <row r="53" spans="1:17" ht="27.75" x14ac:dyDescent="0.3">
      <c r="A53" s="20" t="s">
        <v>199</v>
      </c>
      <c r="B53" s="108" t="s">
        <v>200</v>
      </c>
      <c r="C53" s="110"/>
      <c r="D53" s="110"/>
      <c r="E53" s="110"/>
      <c r="F53" s="110"/>
      <c r="G53" s="110"/>
      <c r="H53" s="21" t="s">
        <v>40</v>
      </c>
      <c r="M53" s="79"/>
    </row>
    <row r="54" spans="1:17" ht="31.5" customHeight="1" x14ac:dyDescent="0.3">
      <c r="A54" s="118" t="s">
        <v>173</v>
      </c>
      <c r="B54" s="118"/>
      <c r="C54" s="118"/>
      <c r="D54" s="118"/>
      <c r="E54" s="118"/>
      <c r="F54" s="118"/>
      <c r="G54" s="118"/>
      <c r="H54" s="118"/>
      <c r="I54" s="118"/>
      <c r="J54" s="118"/>
      <c r="K54" s="118"/>
      <c r="L54" s="118"/>
      <c r="M54" s="118"/>
      <c r="N54" s="118"/>
      <c r="O54" s="118"/>
      <c r="P54" s="118"/>
      <c r="Q54" s="118"/>
    </row>
    <row r="55" spans="1:17" ht="16.5" customHeight="1" x14ac:dyDescent="0.3"/>
    <row r="56" spans="1:17" x14ac:dyDescent="0.3">
      <c r="A56" s="162" t="s">
        <v>227</v>
      </c>
      <c r="B56" s="162"/>
      <c r="C56" s="162"/>
      <c r="D56" s="162"/>
      <c r="E56" s="162"/>
      <c r="F56" s="162"/>
      <c r="G56" s="162"/>
      <c r="H56" s="162"/>
      <c r="I56" s="162"/>
      <c r="J56" s="162"/>
      <c r="K56" s="162"/>
      <c r="L56" s="162"/>
      <c r="M56" s="162"/>
      <c r="N56" s="162"/>
      <c r="O56" s="162"/>
      <c r="P56" s="162"/>
      <c r="Q56" s="162"/>
    </row>
    <row r="57" spans="1:17" ht="18" customHeight="1" x14ac:dyDescent="0.3">
      <c r="A57" s="162" t="s">
        <v>228</v>
      </c>
      <c r="B57" s="162"/>
      <c r="C57" s="162"/>
      <c r="D57" s="162"/>
      <c r="E57" s="162"/>
      <c r="F57" s="162"/>
      <c r="G57" s="162"/>
      <c r="H57" s="162"/>
      <c r="I57" s="162"/>
      <c r="J57" s="162"/>
      <c r="K57" s="162"/>
      <c r="L57" s="162"/>
      <c r="M57" s="162"/>
      <c r="N57" s="162"/>
      <c r="O57" s="162"/>
      <c r="P57" s="162"/>
      <c r="Q57" s="162"/>
    </row>
    <row r="58" spans="1:17" ht="30" customHeight="1" x14ac:dyDescent="0.3">
      <c r="A58" s="163" t="s">
        <v>249</v>
      </c>
      <c r="B58" s="164"/>
      <c r="C58" s="164"/>
      <c r="D58" s="164"/>
      <c r="E58" s="164"/>
      <c r="F58" s="164"/>
      <c r="G58" s="164"/>
      <c r="H58" s="164"/>
      <c r="I58" s="164"/>
      <c r="J58" s="164"/>
      <c r="K58" s="164"/>
      <c r="L58" s="164"/>
      <c r="M58" s="164"/>
      <c r="N58" s="164"/>
      <c r="O58" s="164"/>
      <c r="P58" s="164"/>
      <c r="Q58" s="165"/>
    </row>
    <row r="59" spans="1:17" x14ac:dyDescent="0.3">
      <c r="A59" s="155" t="s">
        <v>250</v>
      </c>
      <c r="B59" s="156"/>
      <c r="C59" s="156"/>
      <c r="D59" s="156"/>
      <c r="E59" s="156"/>
      <c r="F59" s="156"/>
      <c r="G59" s="156"/>
      <c r="H59" s="156"/>
      <c r="I59" s="156"/>
      <c r="J59" s="156"/>
      <c r="K59" s="156"/>
      <c r="L59" s="156"/>
      <c r="M59" s="156"/>
      <c r="N59" s="156"/>
      <c r="O59" s="156"/>
      <c r="P59" s="156"/>
      <c r="Q59" s="157"/>
    </row>
  </sheetData>
  <mergeCells count="24">
    <mergeCell ref="A59:Q59"/>
    <mergeCell ref="F1:I1"/>
    <mergeCell ref="G46:J46"/>
    <mergeCell ref="A56:Q56"/>
    <mergeCell ref="B53:G53"/>
    <mergeCell ref="A58:Q58"/>
    <mergeCell ref="A57:Q57"/>
    <mergeCell ref="A54:Q54"/>
    <mergeCell ref="J1:M1"/>
    <mergeCell ref="N1:Q1"/>
    <mergeCell ref="K46:Q46"/>
    <mergeCell ref="B51:G51"/>
    <mergeCell ref="B52:G52"/>
    <mergeCell ref="A48:Q49"/>
    <mergeCell ref="A1:E1"/>
    <mergeCell ref="J31:J43"/>
    <mergeCell ref="F31:F43"/>
    <mergeCell ref="O44:P44"/>
    <mergeCell ref="G47:H47"/>
    <mergeCell ref="A2:C2"/>
    <mergeCell ref="A31:A43"/>
    <mergeCell ref="B31:B43"/>
    <mergeCell ref="G44:H44"/>
    <mergeCell ref="K44:L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A28" workbookViewId="0">
      <selection activeCell="A36" sqref="A36:I36"/>
    </sheetView>
  </sheetViews>
  <sheetFormatPr baseColWidth="10" defaultRowHeight="13.5" x14ac:dyDescent="0.25"/>
  <cols>
    <col min="1" max="1" width="31.5703125" style="37" customWidth="1"/>
    <col min="2" max="23" width="11.5703125" style="37" bestFit="1" customWidth="1"/>
    <col min="24" max="24" width="11.42578125" style="37"/>
    <col min="25" max="25" width="11.5703125" style="37" bestFit="1" customWidth="1"/>
    <col min="26" max="26" width="11.42578125" style="37"/>
    <col min="27" max="28" width="11.5703125" style="37" bestFit="1" customWidth="1"/>
    <col min="29" max="29" width="11.7109375" style="37" bestFit="1" customWidth="1"/>
    <col min="30" max="16384" width="11.42578125" style="37"/>
  </cols>
  <sheetData>
    <row r="1" spans="1:29" ht="48" customHeight="1" x14ac:dyDescent="0.25">
      <c r="A1" s="134" t="s">
        <v>19</v>
      </c>
      <c r="B1" s="175" t="s">
        <v>136</v>
      </c>
      <c r="C1" s="176"/>
      <c r="D1" s="176"/>
      <c r="E1" s="177"/>
      <c r="F1" s="175" t="s">
        <v>137</v>
      </c>
      <c r="G1" s="176"/>
      <c r="H1" s="176"/>
      <c r="I1" s="177"/>
      <c r="J1" s="175" t="s">
        <v>138</v>
      </c>
      <c r="K1" s="176"/>
      <c r="L1" s="176"/>
      <c r="M1" s="177"/>
      <c r="N1" s="175" t="s">
        <v>139</v>
      </c>
      <c r="O1" s="176"/>
      <c r="P1" s="176"/>
      <c r="Q1" s="177"/>
      <c r="R1" s="175" t="s">
        <v>140</v>
      </c>
      <c r="S1" s="176"/>
      <c r="T1" s="176"/>
      <c r="U1" s="177"/>
      <c r="V1" s="175" t="s">
        <v>252</v>
      </c>
      <c r="W1" s="176"/>
      <c r="X1" s="176"/>
      <c r="Y1" s="177"/>
      <c r="Z1" s="119" t="s">
        <v>253</v>
      </c>
      <c r="AA1" s="120"/>
      <c r="AB1" s="120"/>
      <c r="AC1" s="121"/>
    </row>
    <row r="2" spans="1:29" ht="45" customHeight="1" x14ac:dyDescent="0.25">
      <c r="A2" s="137"/>
      <c r="B2" s="38" t="s">
        <v>8</v>
      </c>
      <c r="C2" s="39" t="s">
        <v>20</v>
      </c>
      <c r="D2" s="39" t="s">
        <v>183</v>
      </c>
      <c r="E2" s="39" t="s">
        <v>167</v>
      </c>
      <c r="F2" s="38" t="s">
        <v>8</v>
      </c>
      <c r="G2" s="39" t="s">
        <v>20</v>
      </c>
      <c r="H2" s="39" t="s">
        <v>183</v>
      </c>
      <c r="I2" s="39" t="s">
        <v>187</v>
      </c>
      <c r="J2" s="38" t="s">
        <v>8</v>
      </c>
      <c r="K2" s="39" t="s">
        <v>20</v>
      </c>
      <c r="L2" s="39" t="s">
        <v>183</v>
      </c>
      <c r="M2" s="39" t="s">
        <v>187</v>
      </c>
      <c r="N2" s="38" t="s">
        <v>8</v>
      </c>
      <c r="O2" s="39" t="s">
        <v>20</v>
      </c>
      <c r="P2" s="39" t="s">
        <v>183</v>
      </c>
      <c r="Q2" s="39" t="s">
        <v>187</v>
      </c>
      <c r="R2" s="38" t="s">
        <v>8</v>
      </c>
      <c r="S2" s="39" t="s">
        <v>20</v>
      </c>
      <c r="T2" s="39" t="s">
        <v>183</v>
      </c>
      <c r="U2" s="39" t="s">
        <v>187</v>
      </c>
      <c r="V2" s="38" t="s">
        <v>8</v>
      </c>
      <c r="W2" s="39" t="s">
        <v>20</v>
      </c>
      <c r="X2" s="39" t="s">
        <v>183</v>
      </c>
      <c r="Y2" s="39" t="s">
        <v>187</v>
      </c>
      <c r="Z2" s="38" t="s">
        <v>8</v>
      </c>
      <c r="AA2" s="39" t="s">
        <v>20</v>
      </c>
      <c r="AB2" s="39" t="s">
        <v>183</v>
      </c>
      <c r="AC2" s="39" t="s">
        <v>187</v>
      </c>
    </row>
    <row r="3" spans="1:29" x14ac:dyDescent="0.25">
      <c r="A3" s="5" t="s">
        <v>141</v>
      </c>
      <c r="B3" s="6">
        <v>1</v>
      </c>
      <c r="C3" s="22">
        <v>75000</v>
      </c>
      <c r="D3" s="22">
        <f>(C3*16%)</f>
        <v>12000</v>
      </c>
      <c r="E3" s="22">
        <f>((D3+C3)*B3)</f>
        <v>87000</v>
      </c>
      <c r="F3" s="7" t="s">
        <v>142</v>
      </c>
      <c r="G3" s="23"/>
      <c r="H3" s="23"/>
      <c r="I3" s="23"/>
      <c r="J3" s="7" t="s">
        <v>142</v>
      </c>
      <c r="K3" s="23"/>
      <c r="L3" s="23"/>
      <c r="M3" s="23"/>
      <c r="N3" s="7" t="s">
        <v>142</v>
      </c>
      <c r="O3" s="23"/>
      <c r="P3" s="23"/>
      <c r="Q3" s="23"/>
      <c r="R3" s="7" t="s">
        <v>142</v>
      </c>
      <c r="S3" s="23"/>
      <c r="T3" s="23"/>
      <c r="U3" s="23"/>
      <c r="V3" s="7" t="s">
        <v>142</v>
      </c>
      <c r="W3" s="23"/>
      <c r="X3" s="23"/>
      <c r="Y3" s="23"/>
      <c r="Z3" s="7" t="s">
        <v>142</v>
      </c>
      <c r="AA3" s="28"/>
      <c r="AB3" s="28"/>
      <c r="AC3" s="40"/>
    </row>
    <row r="4" spans="1:29" ht="108" customHeight="1" x14ac:dyDescent="0.25">
      <c r="A4" s="10" t="s">
        <v>143</v>
      </c>
      <c r="B4" s="7">
        <v>2</v>
      </c>
      <c r="C4" s="23">
        <v>60000</v>
      </c>
      <c r="D4" s="22">
        <f t="shared" ref="D4:D20" si="0">(C4*16%)</f>
        <v>9600</v>
      </c>
      <c r="E4" s="22">
        <f t="shared" ref="E4:E20" si="1">((D4+C4)*B4)</f>
        <v>139200</v>
      </c>
      <c r="F4" s="7" t="s">
        <v>142</v>
      </c>
      <c r="G4" s="23"/>
      <c r="H4" s="23"/>
      <c r="I4" s="23"/>
      <c r="J4" s="7" t="s">
        <v>142</v>
      </c>
      <c r="K4" s="23"/>
      <c r="L4" s="23"/>
      <c r="M4" s="23"/>
      <c r="N4" s="7" t="s">
        <v>142</v>
      </c>
      <c r="O4" s="23"/>
      <c r="P4" s="23"/>
      <c r="Q4" s="23"/>
      <c r="R4" s="7" t="s">
        <v>142</v>
      </c>
      <c r="S4" s="23"/>
      <c r="T4" s="23"/>
      <c r="U4" s="23"/>
      <c r="V4" s="7" t="s">
        <v>142</v>
      </c>
      <c r="W4" s="23"/>
      <c r="X4" s="23"/>
      <c r="Y4" s="23"/>
      <c r="Z4" s="7" t="s">
        <v>142</v>
      </c>
      <c r="AA4" s="28"/>
      <c r="AB4" s="28"/>
      <c r="AC4" s="40"/>
    </row>
    <row r="5" spans="1:29" ht="67.5" x14ac:dyDescent="0.25">
      <c r="A5" s="5" t="s">
        <v>144</v>
      </c>
      <c r="B5" s="7" t="s">
        <v>145</v>
      </c>
      <c r="C5" s="23">
        <v>164255</v>
      </c>
      <c r="D5" s="22">
        <f t="shared" si="0"/>
        <v>26280.799999999999</v>
      </c>
      <c r="E5" s="22">
        <f>(D5+C5)</f>
        <v>190535.8</v>
      </c>
      <c r="F5" s="7" t="s">
        <v>142</v>
      </c>
      <c r="G5" s="23"/>
      <c r="H5" s="23"/>
      <c r="I5" s="23"/>
      <c r="J5" s="7" t="s">
        <v>142</v>
      </c>
      <c r="K5" s="23"/>
      <c r="L5" s="23"/>
      <c r="M5" s="23"/>
      <c r="N5" s="7" t="s">
        <v>142</v>
      </c>
      <c r="O5" s="23"/>
      <c r="P5" s="23"/>
      <c r="Q5" s="23"/>
      <c r="R5" s="7" t="s">
        <v>142</v>
      </c>
      <c r="S5" s="23"/>
      <c r="T5" s="23"/>
      <c r="U5" s="23"/>
      <c r="V5" s="7" t="s">
        <v>142</v>
      </c>
      <c r="W5" s="23"/>
      <c r="X5" s="23"/>
      <c r="Y5" s="23"/>
      <c r="Z5" s="7" t="s">
        <v>142</v>
      </c>
      <c r="AA5" s="28"/>
      <c r="AB5" s="28"/>
      <c r="AC5" s="40"/>
    </row>
    <row r="6" spans="1:29" ht="40.5" x14ac:dyDescent="0.25">
      <c r="A6" s="5" t="s">
        <v>146</v>
      </c>
      <c r="B6" s="6">
        <v>6</v>
      </c>
      <c r="C6" s="22">
        <v>32500</v>
      </c>
      <c r="D6" s="22">
        <f t="shared" si="0"/>
        <v>5200</v>
      </c>
      <c r="E6" s="22">
        <f t="shared" si="1"/>
        <v>226200</v>
      </c>
      <c r="F6" s="7">
        <v>1</v>
      </c>
      <c r="G6" s="23">
        <v>32500</v>
      </c>
      <c r="H6" s="23">
        <f>(G6*16%)</f>
        <v>5200</v>
      </c>
      <c r="I6" s="23">
        <f>((H6+G6)*F6)</f>
        <v>37700</v>
      </c>
      <c r="J6" s="7">
        <v>1</v>
      </c>
      <c r="K6" s="23">
        <v>32500</v>
      </c>
      <c r="L6" s="23">
        <f>(K6*16%)</f>
        <v>5200</v>
      </c>
      <c r="M6" s="23">
        <f>(L6+K6)</f>
        <v>37700</v>
      </c>
      <c r="N6" s="7">
        <v>1</v>
      </c>
      <c r="O6" s="23">
        <v>32500</v>
      </c>
      <c r="P6" s="23">
        <f>(O6*16%)</f>
        <v>5200</v>
      </c>
      <c r="Q6" s="23">
        <f>(P6+O6)*N6</f>
        <v>37700</v>
      </c>
      <c r="R6" s="7">
        <v>1</v>
      </c>
      <c r="S6" s="23">
        <v>32500</v>
      </c>
      <c r="T6" s="23">
        <f>(S6*16%)</f>
        <v>5200</v>
      </c>
      <c r="U6" s="23">
        <f>(T6+S6)*R6</f>
        <v>37700</v>
      </c>
      <c r="V6" s="7">
        <v>2</v>
      </c>
      <c r="W6" s="23">
        <v>5000</v>
      </c>
      <c r="X6" s="23"/>
      <c r="Y6" s="23">
        <f>(X6+W6)*V6</f>
        <v>10000</v>
      </c>
      <c r="Z6" s="7" t="s">
        <v>147</v>
      </c>
      <c r="AA6" s="28">
        <v>115000</v>
      </c>
      <c r="AB6" s="28">
        <f>(AA6*16%)</f>
        <v>18400</v>
      </c>
      <c r="AC6" s="40">
        <f>(AA6+AB6)*22</f>
        <v>2934800</v>
      </c>
    </row>
    <row r="7" spans="1:29" x14ac:dyDescent="0.25">
      <c r="A7" s="5" t="s">
        <v>148</v>
      </c>
      <c r="B7" s="6">
        <v>15</v>
      </c>
      <c r="C7" s="22">
        <v>1920</v>
      </c>
      <c r="D7" s="22">
        <f t="shared" si="0"/>
        <v>307.2</v>
      </c>
      <c r="E7" s="22">
        <f t="shared" si="1"/>
        <v>33408</v>
      </c>
      <c r="F7" s="7">
        <v>2</v>
      </c>
      <c r="G7" s="23">
        <v>1920</v>
      </c>
      <c r="H7" s="23">
        <f t="shared" ref="H7:H19" si="2">(G7*16%)</f>
        <v>307.2</v>
      </c>
      <c r="I7" s="23">
        <f t="shared" ref="I7:I19" si="3">((H7+G7)*F7)</f>
        <v>4454.3999999999996</v>
      </c>
      <c r="J7" s="7">
        <v>2</v>
      </c>
      <c r="K7" s="23">
        <v>1920</v>
      </c>
      <c r="L7" s="23">
        <f t="shared" ref="L7:L19" si="4">(K7*16%)</f>
        <v>307.2</v>
      </c>
      <c r="M7" s="23">
        <f>(L7+K7)*2</f>
        <v>4454.3999999999996</v>
      </c>
      <c r="N7" s="7">
        <v>2</v>
      </c>
      <c r="O7" s="23">
        <v>1920</v>
      </c>
      <c r="P7" s="23">
        <f>(O7*16%)</f>
        <v>307.2</v>
      </c>
      <c r="Q7" s="23">
        <f>(P7+O7)*N7</f>
        <v>4454.3999999999996</v>
      </c>
      <c r="R7" s="7">
        <v>2</v>
      </c>
      <c r="S7" s="23">
        <v>1920</v>
      </c>
      <c r="T7" s="23">
        <f>(S7*16%)</f>
        <v>307.2</v>
      </c>
      <c r="U7" s="23">
        <f>(T7+S7)*R7</f>
        <v>4454.3999999999996</v>
      </c>
      <c r="V7" s="7">
        <v>4</v>
      </c>
      <c r="W7" s="23">
        <v>1920</v>
      </c>
      <c r="X7" s="29"/>
      <c r="Y7" s="23">
        <f>(X7+W7)*V7</f>
        <v>7680</v>
      </c>
      <c r="Z7" s="7" t="s">
        <v>149</v>
      </c>
      <c r="AA7" s="28">
        <v>10925</v>
      </c>
      <c r="AB7" s="28">
        <f>(AA7*16%)</f>
        <v>1748</v>
      </c>
      <c r="AC7" s="40">
        <f t="shared" ref="AC7:AC20" si="5">(AA7+AB7)*22</f>
        <v>278806</v>
      </c>
    </row>
    <row r="8" spans="1:29" x14ac:dyDescent="0.25">
      <c r="A8" s="5" t="s">
        <v>150</v>
      </c>
      <c r="B8" s="6">
        <v>60</v>
      </c>
      <c r="C8" s="22">
        <v>6000</v>
      </c>
      <c r="D8" s="22">
        <f t="shared" si="0"/>
        <v>960</v>
      </c>
      <c r="E8" s="22">
        <f t="shared" si="1"/>
        <v>417600</v>
      </c>
      <c r="F8" s="7" t="s">
        <v>142</v>
      </c>
      <c r="G8" s="23"/>
      <c r="H8" s="23"/>
      <c r="I8" s="23"/>
      <c r="J8" s="7" t="s">
        <v>142</v>
      </c>
      <c r="K8" s="23"/>
      <c r="L8" s="23"/>
      <c r="M8" s="23"/>
      <c r="N8" s="7" t="s">
        <v>142</v>
      </c>
      <c r="O8" s="23"/>
      <c r="P8" s="23"/>
      <c r="Q8" s="23"/>
      <c r="R8" s="7" t="s">
        <v>142</v>
      </c>
      <c r="S8" s="23"/>
      <c r="T8" s="23"/>
      <c r="U8" s="23"/>
      <c r="V8" s="7" t="s">
        <v>142</v>
      </c>
      <c r="W8" s="23"/>
      <c r="X8" s="23"/>
      <c r="Y8" s="23"/>
      <c r="Z8" s="7" t="s">
        <v>142</v>
      </c>
      <c r="AA8" s="28"/>
      <c r="AB8" s="28"/>
      <c r="AC8" s="40">
        <f t="shared" si="5"/>
        <v>0</v>
      </c>
    </row>
    <row r="9" spans="1:29" x14ac:dyDescent="0.25">
      <c r="A9" s="5" t="s">
        <v>151</v>
      </c>
      <c r="B9" s="6">
        <v>9</v>
      </c>
      <c r="C9" s="22">
        <v>10000</v>
      </c>
      <c r="D9" s="22">
        <f t="shared" si="0"/>
        <v>1600</v>
      </c>
      <c r="E9" s="22">
        <f t="shared" si="1"/>
        <v>104400</v>
      </c>
      <c r="F9" s="7">
        <v>1</v>
      </c>
      <c r="G9" s="23">
        <v>10000</v>
      </c>
      <c r="H9" s="23">
        <f t="shared" si="2"/>
        <v>1600</v>
      </c>
      <c r="I9" s="23">
        <f t="shared" si="3"/>
        <v>11600</v>
      </c>
      <c r="J9" s="7">
        <v>1</v>
      </c>
      <c r="K9" s="23">
        <v>10000</v>
      </c>
      <c r="L9" s="23">
        <f t="shared" si="4"/>
        <v>1600</v>
      </c>
      <c r="M9" s="23">
        <f t="shared" ref="M9:M19" si="6">(L9+K9)</f>
        <v>11600</v>
      </c>
      <c r="N9" s="7">
        <v>1</v>
      </c>
      <c r="O9" s="23">
        <v>10000</v>
      </c>
      <c r="P9" s="23">
        <f>(O9*16%)</f>
        <v>1600</v>
      </c>
      <c r="Q9" s="23">
        <f>(P9+O9)*N9</f>
        <v>11600</v>
      </c>
      <c r="R9" s="7">
        <v>1</v>
      </c>
      <c r="S9" s="23">
        <v>10000</v>
      </c>
      <c r="T9" s="23">
        <f>(S9*16%)</f>
        <v>1600</v>
      </c>
      <c r="U9" s="23">
        <f>(T9+S9)*R9</f>
        <v>11600</v>
      </c>
      <c r="V9" s="7" t="s">
        <v>152</v>
      </c>
      <c r="W9" s="23"/>
      <c r="X9" s="23"/>
      <c r="Y9" s="23"/>
      <c r="Z9" s="7" t="s">
        <v>152</v>
      </c>
      <c r="AA9" s="28"/>
      <c r="AB9" s="28"/>
      <c r="AC9" s="40">
        <f t="shared" si="5"/>
        <v>0</v>
      </c>
    </row>
    <row r="10" spans="1:29" x14ac:dyDescent="0.25">
      <c r="A10" s="5" t="s">
        <v>153</v>
      </c>
      <c r="B10" s="6">
        <v>8</v>
      </c>
      <c r="C10" s="22">
        <v>15000</v>
      </c>
      <c r="D10" s="22">
        <f t="shared" si="0"/>
        <v>2400</v>
      </c>
      <c r="E10" s="22">
        <f t="shared" si="1"/>
        <v>139200</v>
      </c>
      <c r="F10" s="7">
        <v>1</v>
      </c>
      <c r="G10" s="23">
        <v>15000</v>
      </c>
      <c r="H10" s="23">
        <f t="shared" si="2"/>
        <v>2400</v>
      </c>
      <c r="I10" s="23">
        <f t="shared" si="3"/>
        <v>17400</v>
      </c>
      <c r="J10" s="7">
        <v>1</v>
      </c>
      <c r="K10" s="23">
        <v>15000</v>
      </c>
      <c r="L10" s="23">
        <f t="shared" si="4"/>
        <v>2400</v>
      </c>
      <c r="M10" s="23">
        <f t="shared" si="6"/>
        <v>17400</v>
      </c>
      <c r="N10" s="7" t="s">
        <v>142</v>
      </c>
      <c r="O10" s="23"/>
      <c r="P10" s="23"/>
      <c r="Q10" s="23"/>
      <c r="R10" s="7">
        <v>1</v>
      </c>
      <c r="S10" s="23">
        <v>15000</v>
      </c>
      <c r="T10" s="23">
        <f>(S10*16%)</f>
        <v>2400</v>
      </c>
      <c r="U10" s="23">
        <f>(T10+S10)*R10</f>
        <v>17400</v>
      </c>
      <c r="V10" s="7" t="s">
        <v>152</v>
      </c>
      <c r="W10" s="23"/>
      <c r="X10" s="23"/>
      <c r="Y10" s="23"/>
      <c r="Z10" s="7" t="s">
        <v>152</v>
      </c>
      <c r="AA10" s="28"/>
      <c r="AB10" s="28"/>
      <c r="AC10" s="40">
        <f t="shared" si="5"/>
        <v>0</v>
      </c>
    </row>
    <row r="11" spans="1:29" x14ac:dyDescent="0.25">
      <c r="A11" s="5" t="s">
        <v>154</v>
      </c>
      <c r="B11" s="6">
        <v>8</v>
      </c>
      <c r="C11" s="22">
        <v>20500</v>
      </c>
      <c r="D11" s="22">
        <f t="shared" si="0"/>
        <v>3280</v>
      </c>
      <c r="E11" s="22">
        <f t="shared" si="1"/>
        <v>190240</v>
      </c>
      <c r="F11" s="7" t="s">
        <v>142</v>
      </c>
      <c r="G11" s="23"/>
      <c r="H11" s="23"/>
      <c r="I11" s="23"/>
      <c r="J11" s="7" t="s">
        <v>142</v>
      </c>
      <c r="K11" s="23"/>
      <c r="L11" s="23"/>
      <c r="M11" s="23"/>
      <c r="N11" s="7" t="s">
        <v>142</v>
      </c>
      <c r="O11" s="23"/>
      <c r="P11" s="23"/>
      <c r="Q11" s="23"/>
      <c r="R11" s="7" t="s">
        <v>142</v>
      </c>
      <c r="S11" s="23"/>
      <c r="T11" s="23"/>
      <c r="U11" s="23"/>
      <c r="V11" s="7" t="s">
        <v>142</v>
      </c>
      <c r="W11" s="23"/>
      <c r="X11" s="23"/>
      <c r="Y11" s="23"/>
      <c r="Z11" s="7" t="s">
        <v>142</v>
      </c>
      <c r="AA11" s="28"/>
      <c r="AB11" s="28"/>
      <c r="AC11" s="40">
        <f t="shared" si="5"/>
        <v>0</v>
      </c>
    </row>
    <row r="12" spans="1:29" x14ac:dyDescent="0.25">
      <c r="A12" s="5" t="s">
        <v>155</v>
      </c>
      <c r="B12" s="6">
        <v>1</v>
      </c>
      <c r="C12" s="22">
        <v>12500</v>
      </c>
      <c r="D12" s="22">
        <f t="shared" si="0"/>
        <v>2000</v>
      </c>
      <c r="E12" s="22">
        <f t="shared" si="1"/>
        <v>14500</v>
      </c>
      <c r="F12" s="7" t="s">
        <v>142</v>
      </c>
      <c r="G12" s="23"/>
      <c r="H12" s="23"/>
      <c r="I12" s="23"/>
      <c r="J12" s="7" t="s">
        <v>142</v>
      </c>
      <c r="K12" s="23"/>
      <c r="L12" s="23"/>
      <c r="M12" s="23"/>
      <c r="N12" s="7" t="s">
        <v>142</v>
      </c>
      <c r="O12" s="23"/>
      <c r="P12" s="23"/>
      <c r="Q12" s="23"/>
      <c r="R12" s="7" t="s">
        <v>142</v>
      </c>
      <c r="S12" s="23"/>
      <c r="T12" s="23"/>
      <c r="U12" s="23"/>
      <c r="V12" s="7" t="s">
        <v>142</v>
      </c>
      <c r="W12" s="23"/>
      <c r="X12" s="23"/>
      <c r="Y12" s="23"/>
      <c r="Z12" s="7" t="s">
        <v>142</v>
      </c>
      <c r="AA12" s="28"/>
      <c r="AB12" s="28"/>
      <c r="AC12" s="40">
        <f t="shared" si="5"/>
        <v>0</v>
      </c>
    </row>
    <row r="13" spans="1:29" x14ac:dyDescent="0.25">
      <c r="A13" s="5" t="s">
        <v>156</v>
      </c>
      <c r="B13" s="6">
        <v>1</v>
      </c>
      <c r="C13" s="22">
        <v>7500</v>
      </c>
      <c r="D13" s="22">
        <f t="shared" si="0"/>
        <v>1200</v>
      </c>
      <c r="E13" s="22">
        <f t="shared" si="1"/>
        <v>8700</v>
      </c>
      <c r="F13" s="7" t="s">
        <v>142</v>
      </c>
      <c r="G13" s="23"/>
      <c r="H13" s="23"/>
      <c r="I13" s="23"/>
      <c r="J13" s="7" t="s">
        <v>142</v>
      </c>
      <c r="K13" s="23"/>
      <c r="L13" s="23"/>
      <c r="M13" s="23"/>
      <c r="N13" s="7" t="s">
        <v>142</v>
      </c>
      <c r="O13" s="23"/>
      <c r="P13" s="23"/>
      <c r="Q13" s="23"/>
      <c r="R13" s="7" t="s">
        <v>142</v>
      </c>
      <c r="S13" s="23"/>
      <c r="T13" s="23"/>
      <c r="U13" s="23"/>
      <c r="V13" s="7" t="s">
        <v>142</v>
      </c>
      <c r="W13" s="23"/>
      <c r="X13" s="23"/>
      <c r="Y13" s="23"/>
      <c r="Z13" s="7" t="s">
        <v>142</v>
      </c>
      <c r="AA13" s="28"/>
      <c r="AB13" s="28"/>
      <c r="AC13" s="40">
        <f t="shared" si="5"/>
        <v>0</v>
      </c>
    </row>
    <row r="14" spans="1:29" ht="27" x14ac:dyDescent="0.25">
      <c r="A14" s="5" t="s">
        <v>157</v>
      </c>
      <c r="B14" s="6">
        <v>2</v>
      </c>
      <c r="C14" s="22">
        <v>120000</v>
      </c>
      <c r="D14" s="22">
        <f t="shared" si="0"/>
        <v>19200</v>
      </c>
      <c r="E14" s="22">
        <f t="shared" si="1"/>
        <v>278400</v>
      </c>
      <c r="F14" s="7" t="s">
        <v>142</v>
      </c>
      <c r="G14" s="23"/>
      <c r="H14" s="23"/>
      <c r="I14" s="23"/>
      <c r="J14" s="7" t="s">
        <v>142</v>
      </c>
      <c r="K14" s="23"/>
      <c r="L14" s="23"/>
      <c r="M14" s="23"/>
      <c r="N14" s="7" t="s">
        <v>142</v>
      </c>
      <c r="O14" s="23"/>
      <c r="P14" s="23"/>
      <c r="Q14" s="23"/>
      <c r="R14" s="7" t="s">
        <v>142</v>
      </c>
      <c r="S14" s="23"/>
      <c r="T14" s="23"/>
      <c r="U14" s="23"/>
      <c r="V14" s="7" t="s">
        <v>142</v>
      </c>
      <c r="W14" s="23"/>
      <c r="X14" s="23"/>
      <c r="Y14" s="23"/>
      <c r="Z14" s="7" t="s">
        <v>142</v>
      </c>
      <c r="AA14" s="28"/>
      <c r="AB14" s="28"/>
      <c r="AC14" s="40">
        <f t="shared" si="5"/>
        <v>0</v>
      </c>
    </row>
    <row r="15" spans="1:29" ht="54" x14ac:dyDescent="0.25">
      <c r="A15" s="5" t="s">
        <v>158</v>
      </c>
      <c r="B15" s="6">
        <v>1</v>
      </c>
      <c r="C15" s="22">
        <v>125000</v>
      </c>
      <c r="D15" s="22">
        <f t="shared" si="0"/>
        <v>20000</v>
      </c>
      <c r="E15" s="22">
        <f t="shared" si="1"/>
        <v>145000</v>
      </c>
      <c r="F15" s="7" t="s">
        <v>142</v>
      </c>
      <c r="G15" s="23"/>
      <c r="H15" s="23"/>
      <c r="I15" s="23"/>
      <c r="J15" s="7" t="s">
        <v>142</v>
      </c>
      <c r="K15" s="23"/>
      <c r="L15" s="23"/>
      <c r="M15" s="23"/>
      <c r="N15" s="7" t="s">
        <v>142</v>
      </c>
      <c r="O15" s="23"/>
      <c r="P15" s="23"/>
      <c r="Q15" s="23"/>
      <c r="R15" s="7" t="s">
        <v>142</v>
      </c>
      <c r="S15" s="23"/>
      <c r="T15" s="23"/>
      <c r="U15" s="23"/>
      <c r="V15" s="7" t="s">
        <v>142</v>
      </c>
      <c r="W15" s="23"/>
      <c r="X15" s="23"/>
      <c r="Y15" s="23"/>
      <c r="Z15" s="7" t="s">
        <v>142</v>
      </c>
      <c r="AA15" s="28"/>
      <c r="AB15" s="28"/>
      <c r="AC15" s="40">
        <f t="shared" si="5"/>
        <v>0</v>
      </c>
    </row>
    <row r="16" spans="1:29" x14ac:dyDescent="0.25">
      <c r="A16" s="5" t="s">
        <v>159</v>
      </c>
      <c r="B16" s="6">
        <v>2</v>
      </c>
      <c r="C16" s="22">
        <v>6000</v>
      </c>
      <c r="D16" s="22">
        <f t="shared" si="0"/>
        <v>960</v>
      </c>
      <c r="E16" s="22">
        <f t="shared" si="1"/>
        <v>13920</v>
      </c>
      <c r="F16" s="7">
        <v>1</v>
      </c>
      <c r="G16" s="23">
        <v>6000</v>
      </c>
      <c r="H16" s="23">
        <f t="shared" si="2"/>
        <v>960</v>
      </c>
      <c r="I16" s="23">
        <f t="shared" si="3"/>
        <v>6960</v>
      </c>
      <c r="J16" s="7">
        <v>1</v>
      </c>
      <c r="K16" s="23">
        <v>6000</v>
      </c>
      <c r="L16" s="23">
        <f t="shared" si="4"/>
        <v>960</v>
      </c>
      <c r="M16" s="23">
        <f t="shared" si="6"/>
        <v>6960</v>
      </c>
      <c r="N16" s="7">
        <v>1</v>
      </c>
      <c r="O16" s="23">
        <v>6000</v>
      </c>
      <c r="P16" s="23">
        <f>(O16*16%)</f>
        <v>960</v>
      </c>
      <c r="Q16" s="23">
        <f>(P16+O16)</f>
        <v>6960</v>
      </c>
      <c r="R16" s="7">
        <v>1</v>
      </c>
      <c r="S16" s="23">
        <v>6000</v>
      </c>
      <c r="T16" s="23">
        <f>(S16*16%)</f>
        <v>960</v>
      </c>
      <c r="U16" s="23">
        <f>(T16+S16)*R16</f>
        <v>6960</v>
      </c>
      <c r="V16" s="7">
        <v>2</v>
      </c>
      <c r="W16" s="23">
        <v>6000</v>
      </c>
      <c r="X16" s="23"/>
      <c r="Y16" s="23">
        <f>(X16+W16)*V16</f>
        <v>12000</v>
      </c>
      <c r="Z16" s="7" t="s">
        <v>147</v>
      </c>
      <c r="AA16" s="28">
        <v>138000</v>
      </c>
      <c r="AB16" s="28">
        <f>(AA16*16%)</f>
        <v>22080</v>
      </c>
      <c r="AC16" s="40">
        <f t="shared" si="5"/>
        <v>3521760</v>
      </c>
    </row>
    <row r="17" spans="1:29" x14ac:dyDescent="0.25">
      <c r="A17" s="5" t="s">
        <v>160</v>
      </c>
      <c r="B17" s="6">
        <v>1</v>
      </c>
      <c r="C17" s="22">
        <v>160000</v>
      </c>
      <c r="D17" s="22">
        <f t="shared" si="0"/>
        <v>25600</v>
      </c>
      <c r="E17" s="22">
        <f t="shared" si="1"/>
        <v>185600</v>
      </c>
      <c r="F17" s="7" t="s">
        <v>142</v>
      </c>
      <c r="G17" s="23"/>
      <c r="H17" s="23"/>
      <c r="I17" s="23"/>
      <c r="J17" s="7" t="s">
        <v>142</v>
      </c>
      <c r="K17" s="23"/>
      <c r="L17" s="23"/>
      <c r="M17" s="23"/>
      <c r="N17" s="7" t="s">
        <v>142</v>
      </c>
      <c r="O17" s="23"/>
      <c r="P17" s="23"/>
      <c r="Q17" s="23"/>
      <c r="R17" s="7" t="s">
        <v>142</v>
      </c>
      <c r="S17" s="23"/>
      <c r="T17" s="23"/>
      <c r="U17" s="23"/>
      <c r="V17" s="7" t="s">
        <v>142</v>
      </c>
      <c r="W17" s="23"/>
      <c r="X17" s="23"/>
      <c r="Y17" s="23"/>
      <c r="Z17" s="7" t="s">
        <v>142</v>
      </c>
      <c r="AA17" s="28"/>
      <c r="AB17" s="28"/>
      <c r="AC17" s="40">
        <f t="shared" si="5"/>
        <v>0</v>
      </c>
    </row>
    <row r="18" spans="1:29" x14ac:dyDescent="0.25">
      <c r="A18" s="5" t="s">
        <v>161</v>
      </c>
      <c r="B18" s="6">
        <v>1</v>
      </c>
      <c r="C18" s="22">
        <v>185000</v>
      </c>
      <c r="D18" s="22">
        <f t="shared" si="0"/>
        <v>29600</v>
      </c>
      <c r="E18" s="22">
        <f t="shared" si="1"/>
        <v>214600</v>
      </c>
      <c r="F18" s="7" t="s">
        <v>142</v>
      </c>
      <c r="G18" s="23"/>
      <c r="H18" s="23"/>
      <c r="I18" s="23"/>
      <c r="J18" s="7" t="s">
        <v>142</v>
      </c>
      <c r="K18" s="23"/>
      <c r="L18" s="23"/>
      <c r="M18" s="23"/>
      <c r="N18" s="7" t="s">
        <v>142</v>
      </c>
      <c r="O18" s="23"/>
      <c r="P18" s="23"/>
      <c r="Q18" s="23"/>
      <c r="R18" s="7" t="s">
        <v>142</v>
      </c>
      <c r="S18" s="23"/>
      <c r="T18" s="23"/>
      <c r="U18" s="23"/>
      <c r="V18" s="7" t="s">
        <v>142</v>
      </c>
      <c r="W18" s="23"/>
      <c r="X18" s="23"/>
      <c r="Y18" s="23"/>
      <c r="Z18" s="7" t="s">
        <v>142</v>
      </c>
      <c r="AA18" s="28"/>
      <c r="AB18" s="28"/>
      <c r="AC18" s="40">
        <f t="shared" si="5"/>
        <v>0</v>
      </c>
    </row>
    <row r="19" spans="1:29" x14ac:dyDescent="0.25">
      <c r="A19" s="5" t="s">
        <v>162</v>
      </c>
      <c r="B19" s="6">
        <v>9</v>
      </c>
      <c r="C19" s="22">
        <v>1250</v>
      </c>
      <c r="D19" s="22">
        <f t="shared" si="0"/>
        <v>200</v>
      </c>
      <c r="E19" s="22">
        <f t="shared" si="1"/>
        <v>13050</v>
      </c>
      <c r="F19" s="7">
        <v>1</v>
      </c>
      <c r="G19" s="23">
        <v>25000</v>
      </c>
      <c r="H19" s="23">
        <f t="shared" si="2"/>
        <v>4000</v>
      </c>
      <c r="I19" s="23">
        <f t="shared" si="3"/>
        <v>29000</v>
      </c>
      <c r="J19" s="7">
        <v>1</v>
      </c>
      <c r="K19" s="23">
        <v>25000</v>
      </c>
      <c r="L19" s="23">
        <f t="shared" si="4"/>
        <v>4000</v>
      </c>
      <c r="M19" s="23">
        <f t="shared" si="6"/>
        <v>29000</v>
      </c>
      <c r="N19" s="7">
        <v>1</v>
      </c>
      <c r="O19" s="23">
        <v>25000</v>
      </c>
      <c r="P19" s="23">
        <f>(O19*16%)</f>
        <v>4000</v>
      </c>
      <c r="Q19" s="23">
        <f>(P19+O19)</f>
        <v>29000</v>
      </c>
      <c r="R19" s="7">
        <v>1</v>
      </c>
      <c r="S19" s="23">
        <v>25000</v>
      </c>
      <c r="T19" s="23">
        <f>(S19*16%)</f>
        <v>4000</v>
      </c>
      <c r="U19" s="23">
        <f>(T19+S19)*R19</f>
        <v>29000</v>
      </c>
      <c r="V19" s="7">
        <v>2</v>
      </c>
      <c r="W19" s="23">
        <v>25000</v>
      </c>
      <c r="X19" s="23"/>
      <c r="Y19" s="23">
        <f>(X19+W19)*V19</f>
        <v>50000</v>
      </c>
      <c r="Z19" s="7" t="s">
        <v>147</v>
      </c>
      <c r="AA19" s="28">
        <v>28750</v>
      </c>
      <c r="AB19" s="28">
        <f>(AA19*16%)</f>
        <v>4600</v>
      </c>
      <c r="AC19" s="40">
        <f t="shared" si="5"/>
        <v>733700</v>
      </c>
    </row>
    <row r="20" spans="1:29" ht="27" x14ac:dyDescent="0.25">
      <c r="A20" s="5" t="s">
        <v>163</v>
      </c>
      <c r="B20" s="6">
        <v>1</v>
      </c>
      <c r="C20" s="22">
        <v>12500</v>
      </c>
      <c r="D20" s="22">
        <f t="shared" si="0"/>
        <v>2000</v>
      </c>
      <c r="E20" s="22">
        <f t="shared" si="1"/>
        <v>14500</v>
      </c>
      <c r="F20" s="7" t="s">
        <v>142</v>
      </c>
      <c r="G20" s="23"/>
      <c r="H20" s="23"/>
      <c r="I20" s="23"/>
      <c r="J20" s="7" t="s">
        <v>142</v>
      </c>
      <c r="K20" s="23"/>
      <c r="L20" s="23"/>
      <c r="M20" s="23"/>
      <c r="N20" s="7" t="s">
        <v>142</v>
      </c>
      <c r="O20" s="23"/>
      <c r="P20" s="23"/>
      <c r="Q20" s="23"/>
      <c r="R20" s="7" t="s">
        <v>142</v>
      </c>
      <c r="S20" s="23"/>
      <c r="T20" s="23"/>
      <c r="U20" s="23"/>
      <c r="V20" s="7" t="s">
        <v>142</v>
      </c>
      <c r="W20" s="23"/>
      <c r="X20" s="23"/>
      <c r="Y20" s="23"/>
      <c r="Z20" s="7" t="s">
        <v>142</v>
      </c>
      <c r="AA20" s="28"/>
      <c r="AB20" s="28"/>
      <c r="AC20" s="40">
        <f t="shared" si="5"/>
        <v>0</v>
      </c>
    </row>
    <row r="21" spans="1:29" ht="88.5" customHeight="1" x14ac:dyDescent="0.25">
      <c r="A21" s="3"/>
      <c r="B21" s="3"/>
      <c r="C21" s="3"/>
      <c r="D21" s="9" t="s">
        <v>188</v>
      </c>
      <c r="E21" s="25">
        <f>SUM(E3:E20)*8</f>
        <v>19328430.399999999</v>
      </c>
      <c r="F21" s="26"/>
      <c r="G21" s="26"/>
      <c r="H21" s="9" t="s">
        <v>188</v>
      </c>
      <c r="I21" s="25">
        <f>SUM(I3:I20)*8</f>
        <v>856915.2</v>
      </c>
      <c r="J21" s="3"/>
      <c r="K21" s="3"/>
      <c r="L21" s="9" t="s">
        <v>188</v>
      </c>
      <c r="M21" s="25">
        <f>SUM(M3:M20)*8</f>
        <v>856915.2</v>
      </c>
      <c r="N21" s="4"/>
      <c r="O21" s="4"/>
      <c r="P21" s="9" t="s">
        <v>188</v>
      </c>
      <c r="Q21" s="25">
        <f>SUM(Q3:Q20)*8</f>
        <v>717715.2</v>
      </c>
      <c r="R21" s="4"/>
      <c r="S21" s="4"/>
      <c r="T21" s="9" t="s">
        <v>188</v>
      </c>
      <c r="U21" s="25">
        <f>SUM(U3:U20)*8</f>
        <v>856915.2</v>
      </c>
      <c r="V21" s="8"/>
      <c r="W21" s="8"/>
      <c r="X21" s="9" t="s">
        <v>188</v>
      </c>
      <c r="Y21" s="25">
        <f>SUM(Y6:Y20)*8</f>
        <v>637440</v>
      </c>
      <c r="Z21" s="4"/>
      <c r="AA21" s="4"/>
      <c r="AB21" s="9" t="s">
        <v>188</v>
      </c>
      <c r="AC21" s="25">
        <f>SUM(AC3:AC20)*22</f>
        <v>164319452</v>
      </c>
    </row>
    <row r="22" spans="1:29" ht="112.5" customHeight="1" x14ac:dyDescent="0.25">
      <c r="A22" s="3"/>
      <c r="B22" s="3"/>
      <c r="C22" s="3"/>
      <c r="D22" s="9" t="s">
        <v>194</v>
      </c>
      <c r="E22" s="25">
        <f>+((E21/8)*12)*3.66/100+(E21/8)*12</f>
        <v>30053776.428959999</v>
      </c>
      <c r="F22" s="26"/>
      <c r="G22" s="3"/>
      <c r="H22" s="9" t="s">
        <v>194</v>
      </c>
      <c r="I22" s="25">
        <f>+((I21/8)*12)*3.66/100+(I21/8)*12</f>
        <v>1332417.4444799998</v>
      </c>
      <c r="J22" s="3"/>
      <c r="K22" s="3"/>
      <c r="L22" s="9" t="s">
        <v>194</v>
      </c>
      <c r="M22" s="25">
        <f>+((M21/8)*12)*3.66/100+(M21/8)*12</f>
        <v>1332417.4444799998</v>
      </c>
      <c r="N22" s="4"/>
      <c r="O22" s="4"/>
      <c r="P22" s="9" t="s">
        <v>194</v>
      </c>
      <c r="Q22" s="25">
        <f>+((Q21/8)*12)*3.66/100+(Q21/8)*12</f>
        <v>1115975.3644799998</v>
      </c>
      <c r="R22" s="4"/>
      <c r="S22" s="4"/>
      <c r="T22" s="9" t="s">
        <v>194</v>
      </c>
      <c r="U22" s="25">
        <f>+((U21/8)*12)*3.66/100+(U21/8)*12</f>
        <v>1332417.4444799998</v>
      </c>
      <c r="V22" s="8"/>
      <c r="W22" s="8"/>
      <c r="X22" s="9" t="s">
        <v>194</v>
      </c>
      <c r="Y22" s="25">
        <f>+((Y21/8)*12)*3.66/100+(Y21/8)*12</f>
        <v>991155.45600000001</v>
      </c>
      <c r="Z22" s="4"/>
      <c r="AA22" s="4"/>
      <c r="AB22" s="9" t="s">
        <v>194</v>
      </c>
      <c r="AC22" s="25">
        <f>+((AC21/8)*12)*3.66/100+(AC21/8)*12</f>
        <v>255500315.91479999</v>
      </c>
    </row>
    <row r="23" spans="1:29" ht="99.75" customHeight="1" x14ac:dyDescent="0.25">
      <c r="A23" s="3"/>
      <c r="B23" s="3"/>
      <c r="C23" s="3"/>
      <c r="D23" s="9" t="s">
        <v>195</v>
      </c>
      <c r="E23" s="25">
        <f>(((E22/12)*3.66/100)+E22/12)*4</f>
        <v>10384581.548753312</v>
      </c>
      <c r="F23" s="27"/>
      <c r="G23" s="27"/>
      <c r="H23" s="9" t="s">
        <v>195</v>
      </c>
      <c r="I23" s="25">
        <f>(((I22/12)*3.66/100)+I22/12)*4</f>
        <v>460394.64098265592</v>
      </c>
      <c r="J23" s="3"/>
      <c r="K23" s="3"/>
      <c r="L23" s="9" t="s">
        <v>195</v>
      </c>
      <c r="M23" s="25">
        <f>(((M22/12)*3.66/100)+M22/12)*4</f>
        <v>460394.64098265592</v>
      </c>
      <c r="N23" s="4"/>
      <c r="O23" s="4"/>
      <c r="P23" s="9" t="s">
        <v>195</v>
      </c>
      <c r="Q23" s="25">
        <f>(((Q22/12)*3.66/100)+Q22/12)*4</f>
        <v>385606.68760665593</v>
      </c>
      <c r="R23" s="4"/>
      <c r="S23" s="4"/>
      <c r="T23" s="9" t="s">
        <v>195</v>
      </c>
      <c r="U23" s="25">
        <f>(((U22/12)*3.66/100)+U22/12)*4</f>
        <v>460394.64098265592</v>
      </c>
      <c r="V23" s="8"/>
      <c r="W23" s="8"/>
      <c r="X23" s="9" t="s">
        <v>195</v>
      </c>
      <c r="Y23" s="25">
        <f>(((Y22/12)*3.66/100)+Y22/12)*4</f>
        <v>342477.2485632</v>
      </c>
      <c r="Z23" s="4"/>
      <c r="AA23" s="4"/>
      <c r="AB23" s="9" t="s">
        <v>195</v>
      </c>
      <c r="AC23" s="25">
        <f>(((AC22/12)*3.66/100)+AC22/12)*4</f>
        <v>88283875.825760558</v>
      </c>
    </row>
    <row r="24" spans="1:29" ht="93" customHeight="1" x14ac:dyDescent="0.25">
      <c r="A24" s="3"/>
      <c r="B24" s="3"/>
      <c r="C24" s="3"/>
      <c r="D24" s="9" t="s">
        <v>189</v>
      </c>
      <c r="E24" s="25">
        <f>+E21+E22+E23</f>
        <v>59766788.377713315</v>
      </c>
      <c r="F24" s="3"/>
      <c r="G24" s="3"/>
      <c r="H24" s="9" t="s">
        <v>189</v>
      </c>
      <c r="I24" s="25">
        <f>+I21+I22+I23</f>
        <v>2649727.2854626556</v>
      </c>
      <c r="J24" s="3"/>
      <c r="K24" s="3"/>
      <c r="L24" s="9" t="s">
        <v>189</v>
      </c>
      <c r="M24" s="25">
        <f>+M21+M22+M23</f>
        <v>2649727.2854626556</v>
      </c>
      <c r="N24" s="3"/>
      <c r="O24" s="3"/>
      <c r="P24" s="9" t="s">
        <v>189</v>
      </c>
      <c r="Q24" s="25">
        <f>+Q21+Q22+Q23</f>
        <v>2219297.2520866557</v>
      </c>
      <c r="R24" s="3"/>
      <c r="S24" s="3"/>
      <c r="T24" s="9" t="s">
        <v>189</v>
      </c>
      <c r="U24" s="25">
        <f>+U21+U22+U23</f>
        <v>2649727.2854626556</v>
      </c>
      <c r="V24" s="3"/>
      <c r="W24" s="3"/>
      <c r="X24" s="9" t="s">
        <v>189</v>
      </c>
      <c r="Y24" s="25">
        <f>+Y21+Y22+Y23</f>
        <v>1971072.7045632</v>
      </c>
      <c r="Z24" s="3"/>
      <c r="AA24" s="4"/>
      <c r="AB24" s="9" t="s">
        <v>189</v>
      </c>
      <c r="AC24" s="25">
        <f>+AC21+AC22+AC23</f>
        <v>508103643.74056053</v>
      </c>
    </row>
    <row r="25" spans="1:29" x14ac:dyDescent="0.25">
      <c r="A25" s="3"/>
      <c r="B25" s="3"/>
      <c r="C25" s="3"/>
      <c r="D25" s="11"/>
      <c r="E25" s="24"/>
      <c r="F25" s="3"/>
      <c r="G25" s="3"/>
      <c r="H25" s="3"/>
      <c r="I25" s="3"/>
      <c r="J25" s="3"/>
      <c r="K25" s="3"/>
      <c r="L25" s="3"/>
      <c r="M25" s="3"/>
      <c r="N25" s="3"/>
      <c r="O25" s="3"/>
      <c r="P25" s="3"/>
      <c r="Q25" s="3"/>
      <c r="R25" s="3"/>
      <c r="S25" s="3"/>
      <c r="T25" s="3"/>
      <c r="U25" s="3"/>
      <c r="V25" s="3"/>
      <c r="W25" s="3"/>
      <c r="X25" s="3"/>
      <c r="Y25" s="3"/>
      <c r="Z25" s="3"/>
      <c r="AA25" s="4"/>
      <c r="AB25" s="3"/>
      <c r="AC25" s="41"/>
    </row>
    <row r="26" spans="1:29" ht="16.5" customHeight="1" x14ac:dyDescent="0.25">
      <c r="A26" s="3"/>
      <c r="B26" s="3"/>
      <c r="C26" s="3"/>
      <c r="D26" s="178" t="s">
        <v>196</v>
      </c>
      <c r="E26" s="179"/>
      <c r="F26" s="179"/>
      <c r="G26" s="179"/>
      <c r="H26" s="179"/>
      <c r="I26" s="179"/>
      <c r="J26" s="179"/>
      <c r="K26" s="179"/>
      <c r="L26" s="179"/>
      <c r="M26" s="179"/>
      <c r="N26" s="179"/>
      <c r="O26" s="179"/>
      <c r="P26" s="180"/>
      <c r="Q26" s="181">
        <f>(I24+M24+Q24+U24+Y24+AC24)</f>
        <v>520243195.55359834</v>
      </c>
      <c r="R26" s="182"/>
      <c r="S26" s="182"/>
      <c r="T26" s="182"/>
      <c r="U26" s="182"/>
      <c r="V26" s="182"/>
      <c r="W26" s="182"/>
      <c r="X26" s="182"/>
      <c r="Y26" s="182"/>
      <c r="Z26" s="182"/>
      <c r="AA26" s="182"/>
      <c r="AB26" s="182"/>
      <c r="AC26" s="183"/>
    </row>
    <row r="27" spans="1:29" x14ac:dyDescent="0.25">
      <c r="A27" s="3"/>
      <c r="B27" s="3"/>
      <c r="C27" s="3"/>
      <c r="D27" s="3"/>
      <c r="E27" s="3"/>
      <c r="F27" s="3"/>
      <c r="G27" s="3"/>
      <c r="H27" s="3"/>
      <c r="I27" s="3"/>
      <c r="J27" s="3"/>
      <c r="K27" s="3"/>
      <c r="L27" s="3"/>
      <c r="M27" s="3"/>
      <c r="N27" s="3"/>
      <c r="O27" s="3"/>
      <c r="P27" s="3"/>
      <c r="Q27" s="3"/>
      <c r="R27" s="3"/>
      <c r="S27" s="3"/>
      <c r="T27" s="3"/>
      <c r="U27" s="3"/>
      <c r="V27" s="3"/>
      <c r="W27" s="3"/>
      <c r="X27" s="3"/>
      <c r="Y27" s="3"/>
      <c r="Z27" s="3"/>
      <c r="AA27" s="4"/>
      <c r="AB27" s="3"/>
    </row>
    <row r="28" spans="1:29" ht="16.5" customHeight="1" x14ac:dyDescent="0.25">
      <c r="A28" s="113" t="s">
        <v>172</v>
      </c>
      <c r="B28" s="113"/>
      <c r="C28" s="113"/>
      <c r="D28" s="113"/>
      <c r="E28" s="113"/>
      <c r="F28" s="113"/>
      <c r="G28" s="113"/>
      <c r="H28" s="113"/>
      <c r="I28" s="113"/>
      <c r="J28" s="113"/>
      <c r="K28" s="113"/>
      <c r="L28" s="113"/>
      <c r="M28" s="113"/>
      <c r="N28" s="113"/>
      <c r="O28" s="113"/>
      <c r="P28" s="113"/>
      <c r="Q28" s="113"/>
    </row>
    <row r="29" spans="1:29" x14ac:dyDescent="0.25">
      <c r="A29" s="113"/>
      <c r="B29" s="113"/>
      <c r="C29" s="113"/>
      <c r="D29" s="113"/>
      <c r="E29" s="113"/>
      <c r="F29" s="113"/>
      <c r="G29" s="113"/>
      <c r="H29" s="113"/>
      <c r="I29" s="113"/>
      <c r="J29" s="113"/>
      <c r="K29" s="113"/>
      <c r="L29" s="113"/>
      <c r="M29" s="113"/>
      <c r="N29" s="113"/>
      <c r="O29" s="113"/>
      <c r="P29" s="113"/>
      <c r="Q29" s="113"/>
    </row>
    <row r="30" spans="1:29" x14ac:dyDescent="0.25">
      <c r="A30" s="42"/>
      <c r="B30" s="42"/>
      <c r="C30" s="42"/>
      <c r="D30" s="42"/>
      <c r="E30" s="42"/>
      <c r="F30" s="42"/>
      <c r="G30" s="42"/>
      <c r="H30" s="42"/>
      <c r="I30" s="43"/>
      <c r="J30" s="43"/>
      <c r="K30" s="43"/>
      <c r="L30" s="43"/>
      <c r="M30" s="43"/>
      <c r="N30" s="43"/>
      <c r="O30" s="43"/>
      <c r="P30" s="43"/>
      <c r="Q30" s="43"/>
    </row>
    <row r="31" spans="1:29" ht="81" customHeight="1" x14ac:dyDescent="0.25">
      <c r="A31" s="30" t="s">
        <v>169</v>
      </c>
      <c r="B31" s="184" t="s">
        <v>170</v>
      </c>
      <c r="C31" s="185"/>
      <c r="D31" s="185"/>
      <c r="E31" s="185"/>
      <c r="F31" s="185"/>
      <c r="G31" s="186"/>
      <c r="H31" s="13" t="s">
        <v>171</v>
      </c>
      <c r="I31" s="43"/>
      <c r="J31" s="43"/>
      <c r="K31" s="43"/>
      <c r="L31" s="43"/>
      <c r="M31" s="43"/>
      <c r="N31" s="43"/>
      <c r="O31" s="43"/>
      <c r="P31" s="43"/>
      <c r="Q31" s="43"/>
    </row>
    <row r="32" spans="1:29" x14ac:dyDescent="0.25">
      <c r="A32" s="14"/>
      <c r="B32" s="194"/>
      <c r="C32" s="195"/>
      <c r="D32" s="195"/>
      <c r="E32" s="195"/>
      <c r="F32" s="195"/>
      <c r="G32" s="196"/>
      <c r="H32" s="44"/>
      <c r="I32" s="43"/>
      <c r="J32" s="43"/>
      <c r="K32" s="43"/>
      <c r="L32" s="43"/>
      <c r="M32" s="43"/>
      <c r="N32" s="43"/>
      <c r="O32" s="43"/>
      <c r="P32" s="43"/>
      <c r="Q32" s="43"/>
    </row>
    <row r="34" spans="1:17" ht="16.5" customHeight="1" x14ac:dyDescent="0.25">
      <c r="A34" s="118" t="s">
        <v>173</v>
      </c>
      <c r="B34" s="118"/>
      <c r="C34" s="118"/>
      <c r="D34" s="118"/>
      <c r="E34" s="118"/>
      <c r="F34" s="118"/>
      <c r="G34" s="118"/>
      <c r="H34" s="118"/>
      <c r="I34" s="118"/>
      <c r="J34" s="118"/>
      <c r="K34" s="118"/>
      <c r="L34" s="118"/>
      <c r="M34" s="118"/>
      <c r="N34" s="118"/>
      <c r="O34" s="118"/>
      <c r="P34" s="118"/>
      <c r="Q34" s="118"/>
    </row>
    <row r="36" spans="1:17" ht="102" customHeight="1" x14ac:dyDescent="0.25">
      <c r="A36" s="189" t="s">
        <v>254</v>
      </c>
      <c r="B36" s="190"/>
      <c r="C36" s="190"/>
      <c r="D36" s="190"/>
      <c r="E36" s="191"/>
      <c r="F36" s="191"/>
      <c r="G36" s="191"/>
      <c r="H36" s="191"/>
      <c r="I36" s="191"/>
    </row>
    <row r="37" spans="1:17" ht="54.75" customHeight="1" x14ac:dyDescent="0.25">
      <c r="A37" s="192" t="s">
        <v>229</v>
      </c>
      <c r="B37" s="192"/>
      <c r="C37" s="192"/>
      <c r="D37" s="192"/>
      <c r="E37" s="192"/>
      <c r="F37" s="192"/>
      <c r="G37" s="192"/>
      <c r="H37" s="192"/>
      <c r="I37" s="193"/>
    </row>
    <row r="38" spans="1:17" x14ac:dyDescent="0.25">
      <c r="A38" s="188" t="s">
        <v>230</v>
      </c>
      <c r="B38" s="188"/>
      <c r="C38" s="188"/>
      <c r="D38" s="188"/>
      <c r="E38" s="188"/>
      <c r="F38" s="188"/>
      <c r="G38" s="188"/>
      <c r="H38" s="188"/>
      <c r="I38" s="188"/>
    </row>
    <row r="39" spans="1:17" ht="33.75" customHeight="1" x14ac:dyDescent="0.25">
      <c r="A39" s="169" t="s">
        <v>247</v>
      </c>
      <c r="B39" s="170"/>
      <c r="C39" s="170"/>
      <c r="D39" s="170"/>
      <c r="E39" s="170"/>
      <c r="F39" s="170"/>
      <c r="G39" s="170"/>
      <c r="H39" s="170"/>
      <c r="I39" s="187"/>
    </row>
  </sheetData>
  <mergeCells count="18">
    <mergeCell ref="D26:P26"/>
    <mergeCell ref="Q26:AC26"/>
    <mergeCell ref="A28:Q29"/>
    <mergeCell ref="B31:G31"/>
    <mergeCell ref="A39:I39"/>
    <mergeCell ref="A38:I38"/>
    <mergeCell ref="A36:I36"/>
    <mergeCell ref="A37:I37"/>
    <mergeCell ref="B32:G32"/>
    <mergeCell ref="A34:Q34"/>
    <mergeCell ref="Z1:AC1"/>
    <mergeCell ref="A1:A2"/>
    <mergeCell ref="B1:E1"/>
    <mergeCell ref="F1:I1"/>
    <mergeCell ref="J1:M1"/>
    <mergeCell ref="N1:Q1"/>
    <mergeCell ref="R1:U1"/>
    <mergeCell ref="V1:Y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opLeftCell="A4" workbookViewId="0">
      <selection activeCell="A14" sqref="A14:M14"/>
    </sheetView>
  </sheetViews>
  <sheetFormatPr baseColWidth="10" defaultRowHeight="13.5" x14ac:dyDescent="0.25"/>
  <cols>
    <col min="1" max="1" width="27.85546875" style="42" customWidth="1"/>
    <col min="2" max="2" width="11.42578125" style="42"/>
    <col min="3" max="3" width="11.7109375" style="42" bestFit="1" customWidth="1"/>
    <col min="4" max="4" width="11.5703125" style="42" bestFit="1" customWidth="1"/>
    <col min="5" max="5" width="11.7109375" style="42" bestFit="1" customWidth="1"/>
    <col min="6" max="6" width="11.42578125" style="42"/>
    <col min="7" max="8" width="11.7109375" style="42" bestFit="1" customWidth="1"/>
    <col min="9" max="9" width="12.7109375" style="42" bestFit="1" customWidth="1"/>
    <col min="10" max="10" width="11.42578125" style="42"/>
    <col min="11" max="11" width="11.7109375" style="42" bestFit="1" customWidth="1"/>
    <col min="12" max="12" width="11.42578125" style="42"/>
    <col min="13" max="13" width="11.7109375" style="42" bestFit="1" customWidth="1"/>
    <col min="14" max="16384" width="11.42578125" style="42"/>
  </cols>
  <sheetData>
    <row r="1" spans="1:17" ht="24.75" customHeight="1" x14ac:dyDescent="0.25">
      <c r="A1" s="201" t="s">
        <v>19</v>
      </c>
      <c r="B1" s="197" t="s">
        <v>132</v>
      </c>
      <c r="C1" s="197"/>
      <c r="D1" s="197"/>
      <c r="E1" s="197"/>
      <c r="F1" s="197" t="s">
        <v>133</v>
      </c>
      <c r="G1" s="197"/>
      <c r="H1" s="197"/>
      <c r="I1" s="197"/>
      <c r="J1" s="197" t="s">
        <v>134</v>
      </c>
      <c r="K1" s="197"/>
      <c r="L1" s="197"/>
      <c r="M1" s="197"/>
      <c r="N1" s="45"/>
    </row>
    <row r="2" spans="1:17" ht="40.5" x14ac:dyDescent="0.25">
      <c r="A2" s="201"/>
      <c r="B2" s="46" t="s">
        <v>129</v>
      </c>
      <c r="C2" s="46" t="s">
        <v>165</v>
      </c>
      <c r="D2" s="46" t="s">
        <v>183</v>
      </c>
      <c r="E2" s="46" t="s">
        <v>190</v>
      </c>
      <c r="F2" s="46" t="s">
        <v>128</v>
      </c>
      <c r="G2" s="46" t="s">
        <v>165</v>
      </c>
      <c r="H2" s="46" t="s">
        <v>183</v>
      </c>
      <c r="I2" s="46" t="s">
        <v>190</v>
      </c>
      <c r="J2" s="46" t="s">
        <v>128</v>
      </c>
      <c r="K2" s="46" t="s">
        <v>165</v>
      </c>
      <c r="L2" s="46" t="s">
        <v>183</v>
      </c>
      <c r="M2" s="46" t="s">
        <v>190</v>
      </c>
    </row>
    <row r="3" spans="1:17" ht="40.5" x14ac:dyDescent="0.25">
      <c r="A3" s="19" t="s">
        <v>164</v>
      </c>
      <c r="B3" s="44">
        <v>1</v>
      </c>
      <c r="C3" s="40">
        <v>1160000</v>
      </c>
      <c r="D3" s="40">
        <f>(C3*16%)</f>
        <v>185600</v>
      </c>
      <c r="E3" s="40">
        <f>(D3+C3)</f>
        <v>1345600</v>
      </c>
      <c r="F3" s="44">
        <v>2</v>
      </c>
      <c r="G3" s="40">
        <v>1803684</v>
      </c>
      <c r="H3" s="40">
        <f>(G3*16%)</f>
        <v>288589.44</v>
      </c>
      <c r="I3" s="40">
        <f>((H3+G3)*2)</f>
        <v>4184546.88</v>
      </c>
      <c r="J3" s="44">
        <v>1</v>
      </c>
      <c r="K3" s="40">
        <v>1869699</v>
      </c>
      <c r="L3" s="40">
        <f>(K3*16%)</f>
        <v>299151.84000000003</v>
      </c>
      <c r="M3" s="40">
        <f>(L3+K3)</f>
        <v>2168850.84</v>
      </c>
    </row>
    <row r="4" spans="1:17" ht="6.75" customHeight="1" x14ac:dyDescent="0.25">
      <c r="A4" s="47"/>
      <c r="D4" s="48"/>
      <c r="M4" s="41"/>
    </row>
    <row r="5" spans="1:17" ht="15" customHeight="1" x14ac:dyDescent="0.25">
      <c r="A5" s="143" t="s">
        <v>189</v>
      </c>
      <c r="B5" s="143"/>
      <c r="C5" s="143"/>
      <c r="D5" s="143"/>
      <c r="E5" s="143"/>
      <c r="F5" s="143"/>
      <c r="G5" s="143"/>
      <c r="H5" s="143"/>
      <c r="I5" s="143"/>
      <c r="J5" s="198">
        <f>(E3+I3+M3)</f>
        <v>7698997.7199999997</v>
      </c>
      <c r="K5" s="199"/>
      <c r="L5" s="199"/>
      <c r="M5" s="200"/>
    </row>
    <row r="6" spans="1:17" ht="9" customHeight="1" x14ac:dyDescent="0.25">
      <c r="A6" s="47"/>
    </row>
    <row r="7" spans="1:17" ht="15" customHeight="1" x14ac:dyDescent="0.25">
      <c r="A7" s="113" t="s">
        <v>172</v>
      </c>
      <c r="B7" s="113"/>
      <c r="C7" s="113"/>
      <c r="D7" s="113"/>
      <c r="E7" s="113"/>
      <c r="F7" s="113"/>
      <c r="G7" s="113"/>
      <c r="H7" s="113"/>
      <c r="I7" s="113"/>
      <c r="J7" s="113"/>
      <c r="K7" s="113"/>
      <c r="L7" s="113"/>
      <c r="M7" s="113"/>
      <c r="N7" s="49"/>
      <c r="O7" s="49"/>
      <c r="P7" s="49"/>
      <c r="Q7" s="49"/>
    </row>
    <row r="8" spans="1:17" ht="5.25" customHeight="1" x14ac:dyDescent="0.25">
      <c r="I8" s="37"/>
      <c r="J8" s="37"/>
      <c r="K8" s="37"/>
      <c r="L8" s="37"/>
      <c r="M8" s="37"/>
      <c r="N8" s="37"/>
      <c r="O8" s="37"/>
      <c r="P8" s="37"/>
      <c r="Q8" s="37"/>
    </row>
    <row r="9" spans="1:17" ht="81" x14ac:dyDescent="0.25">
      <c r="A9" s="30" t="s">
        <v>169</v>
      </c>
      <c r="B9" s="117" t="s">
        <v>170</v>
      </c>
      <c r="C9" s="117"/>
      <c r="D9" s="117"/>
      <c r="E9" s="117"/>
      <c r="F9" s="117"/>
      <c r="G9" s="117"/>
      <c r="H9" s="13" t="s">
        <v>171</v>
      </c>
      <c r="I9" s="37"/>
      <c r="J9" s="37"/>
      <c r="K9" s="37"/>
      <c r="L9" s="37"/>
      <c r="M9" s="37"/>
      <c r="N9" s="37"/>
      <c r="O9" s="37"/>
      <c r="P9" s="37"/>
      <c r="Q9" s="37"/>
    </row>
    <row r="10" spans="1:17" x14ac:dyDescent="0.25">
      <c r="A10" s="14"/>
      <c r="B10" s="115"/>
      <c r="C10" s="115"/>
      <c r="D10" s="115"/>
      <c r="E10" s="115"/>
      <c r="F10" s="115"/>
      <c r="G10" s="115"/>
      <c r="H10" s="44"/>
      <c r="I10" s="37"/>
      <c r="J10" s="37"/>
      <c r="K10" s="37"/>
      <c r="L10" s="37"/>
      <c r="M10" s="37"/>
      <c r="N10" s="37"/>
      <c r="O10" s="37"/>
      <c r="P10" s="37"/>
      <c r="Q10" s="37"/>
    </row>
    <row r="12" spans="1:17" ht="15" customHeight="1" x14ac:dyDescent="0.25">
      <c r="A12" s="118" t="s">
        <v>173</v>
      </c>
      <c r="B12" s="118"/>
      <c r="C12" s="118"/>
      <c r="D12" s="118"/>
      <c r="E12" s="118"/>
      <c r="F12" s="118"/>
      <c r="G12" s="118"/>
      <c r="H12" s="118"/>
      <c r="I12" s="118"/>
      <c r="J12" s="118"/>
      <c r="K12" s="118"/>
      <c r="L12" s="118"/>
      <c r="M12" s="118"/>
      <c r="N12" s="16"/>
      <c r="O12" s="16"/>
      <c r="P12" s="16"/>
      <c r="Q12" s="16"/>
    </row>
    <row r="14" spans="1:17" ht="31.5" customHeight="1" x14ac:dyDescent="0.25">
      <c r="A14" s="144" t="s">
        <v>251</v>
      </c>
      <c r="B14" s="144"/>
      <c r="C14" s="144"/>
      <c r="D14" s="144"/>
      <c r="E14" s="144"/>
      <c r="F14" s="144"/>
      <c r="G14" s="144"/>
      <c r="H14" s="144"/>
      <c r="I14" s="144"/>
      <c r="J14" s="144"/>
      <c r="K14" s="144"/>
      <c r="L14" s="144"/>
      <c r="M14" s="144"/>
    </row>
    <row r="15" spans="1:17" x14ac:dyDescent="0.25">
      <c r="A15" s="188" t="s">
        <v>231</v>
      </c>
      <c r="B15" s="188"/>
      <c r="C15" s="188"/>
      <c r="D15" s="188"/>
      <c r="E15" s="188"/>
      <c r="F15" s="188"/>
      <c r="G15" s="188"/>
      <c r="H15" s="188"/>
      <c r="I15" s="188"/>
      <c r="J15" s="188"/>
      <c r="K15" s="188"/>
      <c r="L15" s="188"/>
      <c r="M15" s="188"/>
    </row>
  </sheetData>
  <mergeCells count="12">
    <mergeCell ref="A15:M15"/>
    <mergeCell ref="A14:M14"/>
    <mergeCell ref="B9:G9"/>
    <mergeCell ref="B10:G10"/>
    <mergeCell ref="A7:M7"/>
    <mergeCell ref="A12:M12"/>
    <mergeCell ref="A5:I5"/>
    <mergeCell ref="F1:I1"/>
    <mergeCell ref="J1:M1"/>
    <mergeCell ref="J5:M5"/>
    <mergeCell ref="A1:A2"/>
    <mergeCell ref="B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workbookViewId="0">
      <selection activeCell="J13" sqref="J13"/>
    </sheetView>
  </sheetViews>
  <sheetFormatPr baseColWidth="10" defaultRowHeight="13.5" x14ac:dyDescent="0.25"/>
  <cols>
    <col min="1" max="4" width="11.42578125" style="42"/>
    <col min="5" max="5" width="20.85546875" style="42" customWidth="1"/>
    <col min="6" max="6" width="52.28515625" style="42" customWidth="1"/>
    <col min="7" max="16384" width="11.42578125" style="42"/>
  </cols>
  <sheetData>
    <row r="2" spans="1:6" x14ac:dyDescent="0.25">
      <c r="A2" s="203" t="s">
        <v>214</v>
      </c>
      <c r="B2" s="204"/>
      <c r="C2" s="204"/>
      <c r="D2" s="204"/>
      <c r="E2" s="204"/>
      <c r="F2" s="205"/>
    </row>
    <row r="3" spans="1:6" x14ac:dyDescent="0.25">
      <c r="A3" s="206"/>
      <c r="B3" s="207"/>
      <c r="C3" s="207"/>
      <c r="D3" s="207"/>
      <c r="E3" s="207"/>
      <c r="F3" s="208"/>
    </row>
    <row r="4" spans="1:6" x14ac:dyDescent="0.25">
      <c r="A4" s="202" t="s">
        <v>176</v>
      </c>
      <c r="B4" s="202"/>
      <c r="C4" s="202"/>
      <c r="D4" s="202"/>
      <c r="E4" s="202"/>
      <c r="F4" s="50">
        <v>502674115</v>
      </c>
    </row>
    <row r="5" spans="1:6" x14ac:dyDescent="0.25">
      <c r="A5" s="202" t="s">
        <v>177</v>
      </c>
      <c r="B5" s="202"/>
      <c r="C5" s="202"/>
      <c r="D5" s="202"/>
      <c r="E5" s="202"/>
      <c r="F5" s="50">
        <v>791420141</v>
      </c>
    </row>
    <row r="6" spans="1:6" x14ac:dyDescent="0.25">
      <c r="A6" s="202" t="s">
        <v>178</v>
      </c>
      <c r="B6" s="202"/>
      <c r="C6" s="202"/>
      <c r="D6" s="202"/>
      <c r="E6" s="202"/>
      <c r="F6" s="50">
        <v>277955539</v>
      </c>
    </row>
    <row r="7" spans="1:6" ht="2.25" customHeight="1" x14ac:dyDescent="0.25">
      <c r="A7" s="51"/>
      <c r="B7" s="51"/>
      <c r="C7" s="51"/>
      <c r="D7" s="51"/>
      <c r="E7" s="51"/>
      <c r="F7" s="50"/>
    </row>
    <row r="8" spans="1:6" x14ac:dyDescent="0.25">
      <c r="A8" s="202" t="s">
        <v>174</v>
      </c>
      <c r="B8" s="202"/>
      <c r="C8" s="202"/>
      <c r="D8" s="202"/>
      <c r="E8" s="202"/>
      <c r="F8" s="50">
        <f>(F6+F5+F4)</f>
        <v>1572049795</v>
      </c>
    </row>
    <row r="9" spans="1:6" ht="27" x14ac:dyDescent="0.25">
      <c r="A9" s="202" t="s">
        <v>175</v>
      </c>
      <c r="B9" s="202"/>
      <c r="C9" s="202"/>
      <c r="D9" s="202"/>
      <c r="E9" s="202"/>
      <c r="F9" s="52" t="s">
        <v>213</v>
      </c>
    </row>
    <row r="10" spans="1:6" ht="9" customHeight="1" x14ac:dyDescent="0.25">
      <c r="A10" s="53"/>
      <c r="B10" s="53"/>
      <c r="C10" s="53"/>
      <c r="D10" s="53"/>
      <c r="E10" s="53"/>
      <c r="F10" s="37"/>
    </row>
    <row r="11" spans="1:6" ht="42.75" customHeight="1" x14ac:dyDescent="0.25">
      <c r="A11" s="119" t="s">
        <v>206</v>
      </c>
      <c r="B11" s="120"/>
      <c r="C11" s="120"/>
      <c r="D11" s="120"/>
      <c r="E11" s="120"/>
      <c r="F11" s="54">
        <f>(F8*1%)</f>
        <v>15720497.950000001</v>
      </c>
    </row>
    <row r="12" spans="1:6" ht="4.5" customHeight="1" x14ac:dyDescent="0.25">
      <c r="A12" s="55"/>
      <c r="B12" s="56"/>
      <c r="C12" s="56"/>
      <c r="D12" s="56"/>
      <c r="E12" s="56"/>
      <c r="F12" s="57"/>
    </row>
    <row r="13" spans="1:6" x14ac:dyDescent="0.25">
      <c r="A13" s="209" t="s">
        <v>204</v>
      </c>
      <c r="B13" s="210"/>
      <c r="C13" s="210"/>
      <c r="D13" s="210"/>
      <c r="E13" s="210"/>
      <c r="F13" s="58"/>
    </row>
    <row r="14" spans="1:6" ht="6.75" customHeight="1" x14ac:dyDescent="0.25">
      <c r="A14" s="59"/>
      <c r="B14" s="60"/>
      <c r="C14" s="60"/>
      <c r="D14" s="60"/>
      <c r="E14" s="60"/>
      <c r="F14" s="61"/>
    </row>
    <row r="15" spans="1:6" ht="31.5" customHeight="1" x14ac:dyDescent="0.25">
      <c r="A15" s="108" t="s">
        <v>207</v>
      </c>
      <c r="B15" s="108"/>
      <c r="C15" s="108"/>
      <c r="D15" s="108"/>
      <c r="E15" s="108"/>
      <c r="F15" s="62">
        <v>27858100</v>
      </c>
    </row>
    <row r="16" spans="1:6" ht="31.5" customHeight="1" x14ac:dyDescent="0.25">
      <c r="A16" s="108" t="s">
        <v>208</v>
      </c>
      <c r="B16" s="108"/>
      <c r="C16" s="108"/>
      <c r="D16" s="108"/>
      <c r="E16" s="108"/>
      <c r="F16" s="50">
        <v>0</v>
      </c>
    </row>
    <row r="17" spans="1:6" ht="31.5" customHeight="1" x14ac:dyDescent="0.25">
      <c r="A17" s="108" t="s">
        <v>209</v>
      </c>
      <c r="B17" s="108"/>
      <c r="C17" s="108"/>
      <c r="D17" s="108"/>
      <c r="E17" s="108"/>
      <c r="F17" s="50">
        <v>3</v>
      </c>
    </row>
    <row r="18" spans="1:6" ht="31.5" customHeight="1" x14ac:dyDescent="0.25">
      <c r="A18" s="108" t="s">
        <v>210</v>
      </c>
      <c r="B18" s="108"/>
      <c r="C18" s="108"/>
      <c r="D18" s="108"/>
      <c r="E18" s="108"/>
      <c r="F18" s="50">
        <v>0</v>
      </c>
    </row>
    <row r="19" spans="1:6" ht="31.5" customHeight="1" x14ac:dyDescent="0.25">
      <c r="A19" s="108" t="s">
        <v>211</v>
      </c>
      <c r="B19" s="108"/>
      <c r="C19" s="108"/>
      <c r="D19" s="108"/>
      <c r="E19" s="108"/>
      <c r="F19" s="62">
        <v>429073043.74000001</v>
      </c>
    </row>
    <row r="20" spans="1:6" ht="40.5" customHeight="1" x14ac:dyDescent="0.25">
      <c r="A20" s="144" t="s">
        <v>205</v>
      </c>
      <c r="B20" s="144"/>
      <c r="C20" s="144"/>
      <c r="D20" s="144"/>
      <c r="E20" s="144"/>
      <c r="F20" s="50">
        <f>SUM(F15:F19)</f>
        <v>456931146.74000001</v>
      </c>
    </row>
    <row r="22" spans="1:6" ht="40.5" customHeight="1" x14ac:dyDescent="0.25">
      <c r="A22" s="144" t="s">
        <v>232</v>
      </c>
      <c r="B22" s="144"/>
      <c r="C22" s="144"/>
      <c r="D22" s="144"/>
      <c r="E22" s="144"/>
      <c r="F22" s="144"/>
    </row>
  </sheetData>
  <mergeCells count="15">
    <mergeCell ref="A11:E11"/>
    <mergeCell ref="A20:E20"/>
    <mergeCell ref="A22:F22"/>
    <mergeCell ref="A13:E13"/>
    <mergeCell ref="A15:E15"/>
    <mergeCell ref="A16:E16"/>
    <mergeCell ref="A17:E17"/>
    <mergeCell ref="A18:E18"/>
    <mergeCell ref="A19:E19"/>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Katerynne Morales Roa</cp:lastModifiedBy>
  <dcterms:created xsi:type="dcterms:W3CDTF">2015-03-20T13:49:04Z</dcterms:created>
  <dcterms:modified xsi:type="dcterms:W3CDTF">2015-04-17T01:19:37Z</dcterms:modified>
</cp:coreProperties>
</file>