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defaultThemeVersion="166925"/>
  <mc:AlternateContent xmlns:mc="http://schemas.openxmlformats.org/markup-compatibility/2006">
    <mc:Choice Requires="x15">
      <x15ac:absPath xmlns:x15ac="http://schemas.microsoft.com/office/spreadsheetml/2010/11/ac" url="D:\WORK 2022\Icetex Andrew S 2021\2022\E-KOGUI I-2022\"/>
    </mc:Choice>
  </mc:AlternateContent>
  <xr:revisionPtr revIDLastSave="0" documentId="13_ncr:1_{DF5DCD0D-5A4D-4B5E-AFAC-328982C4A9BF}" xr6:coauthVersionLast="47" xr6:coauthVersionMax="47" xr10:uidLastSave="{00000000-0000-0000-0000-000000000000}"/>
  <bookViews>
    <workbookView xWindow="-120" yWindow="-120" windowWidth="29040" windowHeight="15840" tabRatio="777" firstSheet="1" activeTab="7"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Base a pegar" sheetId="12"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A13" i="12" l="1"/>
  <c r="A17" i="12"/>
  <c r="A15" i="12"/>
  <c r="A14" i="12"/>
  <c r="A16" i="12"/>
  <c r="C12" i="5" l="1"/>
  <c r="V3" i="7"/>
  <c r="G14" i="1" l="1"/>
  <c r="G15" i="12" s="1"/>
  <c r="G13" i="1"/>
  <c r="G14" i="12" s="1"/>
  <c r="G15" i="1"/>
  <c r="G16" i="12" s="1"/>
  <c r="G16" i="1"/>
  <c r="G17" i="12" s="1"/>
  <c r="G17" i="1"/>
  <c r="G18" i="12" s="1"/>
  <c r="G12" i="1"/>
  <c r="G13" i="12" s="1"/>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<sst xmlns="http://schemas.openxmlformats.org/spreadsheetml/2006/main" count="270" uniqueCount="196">
  <si>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</si>
  <si>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</si>
  <si>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</si>
  <si>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</si>
  <si>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</si>
  <si>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</si>
  <si>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</si>
  <si>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</si>
  <si>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</si>
  <si>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</si>
  <si>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</si>
  <si>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</si>
  <si>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</si>
  <si>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</si>
  <si>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</si>
  <si>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</si>
  <si>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</si>
  <si>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</si>
  <si>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</si>
  <si>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</si>
  <si>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</si>
  <si>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</si>
  <si>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</si>
  <si>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</si>
  <si>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</si>
  <si>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</si>
  <si>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</si>
  <si>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</si>
  <si>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</si>
  <si>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</si>
  <si>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</si>
  <si>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</si>
  <si>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</si>
  <si>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</si>
  <si>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</si>
  <si>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</si>
  <si>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</si>
  <si>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</si>
  <si>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</si>
  <si>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</si>
  <si>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</si>
  <si>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</si>
  <si>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</si>
  <si>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</si>
  <si>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</si>
  <si>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</si>
  <si>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</si>
  <si>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</si>
  <si>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</si>
  <si>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</si>
  <si>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</si>
  <si>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</si>
  <si>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</si>
  <si>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</si>
  <si>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</si>
  <si>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</si>
  <si>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</si>
  <si>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</si>
  <si>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</si>
  <si>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</si>
  <si>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</si>
  <si>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</si>
  <si>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</si>
  <si>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</si>
  <si>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CON PROVISIÓN IGUAL A CERO</t>
  </si>
  <si>
    <t>Procesos Judiciales</t>
  </si>
  <si>
    <t>TERMINADOS ÚLTIMA ACTUACIÓN EN 2020</t>
  </si>
  <si>
    <t>ARBITRAMENTOS</t>
  </si>
  <si>
    <t>ARBITRAMENTOS ACTIVOS</t>
  </si>
  <si>
    <t>ARBITRAMENTOS REGISTRADOS EN EKOGUI</t>
  </si>
  <si>
    <t>PAGOS</t>
  </si>
  <si>
    <t>Gestiona pagos en SIIF de MinHacienda</t>
  </si>
  <si>
    <t>Provisión incorrecta</t>
  </si>
  <si>
    <t>JUDICIALES</t>
  </si>
  <si>
    <t>PREJUDICIALES</t>
  </si>
  <si>
    <t>Plantilla de certificado de Control Interno eKOGUI</t>
  </si>
  <si>
    <t>ACTUALIZADO</t>
  </si>
  <si>
    <t>Entre 21-03-2019 y 31-12-2019</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</si>
  <si>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</si>
  <si>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</si>
  <si>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</si>
  <si>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</si>
  <si>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</si>
  <si>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</si>
  <si>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</si>
  <si>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</si>
  <si>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</si>
  <si>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</si>
  <si>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</si>
  <si>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</si>
  <si>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</si>
  <si>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 información estudios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</si>
  <si>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</si>
  <si>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</si>
  <si>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</si>
  <si>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</si>
  <si>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</si>
  <si>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</si>
  <si>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</si>
  <si>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</si>
  <si>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</si>
  <si>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</si>
  <si>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</si>
  <si>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</si>
  <si>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</si>
  <si>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</si>
  <si>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Posteriores al 01-01-2020</t>
  </si>
  <si>
    <t>Fecha de diligenciamiento de plantilla</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</si>
  <si>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</si>
  <si>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</si>
  <si>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</si>
  <si>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</si>
  <si>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</si>
  <si>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</si>
  <si>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</si>
  <si>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</si>
  <si>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</si>
  <si>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</si>
  <si>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</si>
  <si>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</si>
  <si>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</si>
  <si>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</si>
  <si>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</si>
  <si>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</si>
  <si>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</si>
  <si>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</si>
  <si>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</si>
  <si>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</si>
  <si>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</si>
  <si>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</si>
  <si>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</si>
  <si>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</si>
  <si>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</si>
  <si>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</si>
  <si>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</si>
  <si>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</si>
  <si>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</si>
  <si>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</si>
  <si>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</si>
  <si>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</si>
  <si>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</si>
  <si>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</si>
  <si>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</si>
  <si>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</si>
  <si>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</si>
  <si>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</si>
  <si>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</si>
  <si>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PREJUDICIALES TERMINADAS SEGUNDO SEMESTRE 2021</t>
  </si>
  <si>
    <t>Procesos que se encuentran terminados</t>
  </si>
  <si>
    <t>Abogados al 30 de junio de 2022</t>
  </si>
  <si>
    <t>ABOGADOS ACTIVOS AL 30-06-2022</t>
  </si>
  <si>
    <t>PROCESOS ACTIVOS AL 30 DE JUNIO DE 2022</t>
  </si>
  <si>
    <t>(1) Con fecha de registro anterior al 15-06-2022</t>
  </si>
  <si>
    <t>PROCESOS TERMINADOS PRIMER SEMESTRE 2022</t>
  </si>
  <si>
    <t>TERMINADOS EN EKOGUI DURANTE PRIMER SEMESTRE 2022 (2)</t>
  </si>
  <si>
    <t>(2) Con fecha de actuación en 2022</t>
  </si>
  <si>
    <r>
      <t>(3)En el reporte de activos al 30 de junio verifique la columna</t>
    </r>
    <r>
      <rPr>
        <b/>
        <i/>
        <sz val="9"/>
        <color theme="1"/>
        <rFont val="Calibri"/>
        <family val="2"/>
        <scheme val="minor"/>
      </rPr>
      <t xml:space="preserve"> Estado General del proceso</t>
    </r>
  </si>
  <si>
    <t>(4)Equivalente a un valor indexado de $33.000 millones a 30 de junio de 2022</t>
  </si>
  <si>
    <t>PREJUDICIALES ACTIVAS AL 30-06-2022</t>
  </si>
  <si>
    <t>REGISTRO POSTERIOR AL 31/12/2021</t>
  </si>
  <si>
    <t>REGISTRO EN PRIMER SEMESTRE DE 2021 Y ANTERIORES</t>
  </si>
  <si>
    <t>REGISTRO ENTRE  1 DE JULIO Y 31 DE DICIEMBRE DE 2021</t>
  </si>
  <si>
    <t>CANTIDAD DE ABOGADOS LITIGANDO SEGUN JURIDICA</t>
  </si>
  <si>
    <t>RETIRADOS EN LA ENTIDAD PRIMER SEMESTRE 2022 SEGÚN JURIDICA</t>
  </si>
  <si>
    <t>CANTIDAD DE PROCESOS ACTIVOS SEGÚN JURIDICA</t>
  </si>
  <si>
    <t>PROCESOS TERMINADOS DURANTE PRIMER SEMESTRE 2022 SEGÚN JURIDICA</t>
  </si>
  <si>
    <t>PROCESO TERMINADOS EN EKOGUI AL 30 DE JUNIO 2022</t>
  </si>
  <si>
    <t>PROCESOS ACTIVOS EN EKOGUI CON ESTADO TERMINADO(3)</t>
  </si>
  <si>
    <t>Cantidad de procesos de más de 33.000 SMMLV SEGÚN JURIDICA</t>
  </si>
  <si>
    <t>PROCESOS ACTIVOS EN EKOGUI  EN CALIDAD DEMANDADO AL 30-06-2022</t>
  </si>
  <si>
    <t>PROCESOS EN EKOGUI CON CALIFICACIÓN PRIMER SEMESTRE 2022</t>
  </si>
  <si>
    <t>PROCESOS EN EKOGUI CON CALIFICACIÓN ANTERIOR A 31-12-2021</t>
  </si>
  <si>
    <t>PROCESOS EN EKOGUI SIN CALIFICACIÓN</t>
  </si>
  <si>
    <t>(6) Solo se consideran los procesos activos en e-Kogui - calidad demandado al 30 de JUNIO de 2022 que tengan calificación de riesgo</t>
  </si>
  <si>
    <t>TOTAL PREJUDICIALES ACTIVOS SEGÚN JURIDICA</t>
  </si>
  <si>
    <t>ARBITRAMENTOS ACTIVOS AL 30-06-2022 SEGÚN JURIDICA</t>
  </si>
  <si>
    <t>TOTAL ARBITRAMENTOS TERMINADOS  AL 30-06-2022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</si>
  <si>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</si>
  <si>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</si>
  <si>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TOTAL PREJUDICIALES TERMINADOS I SEM. 2022 SEGÚN JURIDICA</t>
  </si>
  <si>
    <t>ARBITRAMENTOS ACTIVOS REGISTRADOS EN EKOGUI</t>
  </si>
  <si>
    <t>INACTIVADOS EN EKOGUI PRIMER SEMESTRE 2022</t>
  </si>
  <si>
    <t>Realiza Pagos por SIIF</t>
  </si>
  <si>
    <t>NOMBRE ENTIDAD QUE REPORTA</t>
  </si>
  <si>
    <t>NOMBRE JEFE CONTROL INTERNO QUE REPORTA</t>
  </si>
  <si>
    <t>calificar o cualificar o comparar a las entidades, no hay valores buenos ni malos. No es una hoja de validaciÓn</t>
  </si>
  <si>
    <t>Uso del Módulo Pagos</t>
  </si>
  <si>
    <t>TERMINADOS EN EKOGUI ÚLTIMA ACTUACIÓN  I SEM. 2022</t>
  </si>
  <si>
    <t>Su entidad utilizo el modulo de pagos en 2022-I?</t>
  </si>
  <si>
    <t>DORIS POVEDA BELTRÁN</t>
  </si>
  <si>
    <t>ANA LUCY CASTRO CASTRO</t>
  </si>
  <si>
    <t>CARLOS JAVIER RODRÍGUEZ ORDOÑEZ</t>
  </si>
  <si>
    <t>RICARDO CORTÉS PARDO</t>
  </si>
  <si>
    <t>Sin observaciones</t>
  </si>
  <si>
    <t>I) LA FUENTE DE LA INFORMACIÓN QUE REPORTA LA OFICINA ASESORA JURÍDICA ES LA MISMA INFORMACIÓN QUE REPOSA EN EL SISTEMA E-KOGUI.</t>
  </si>
  <si>
    <t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</si>
</sst>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33">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applyAlignment="1"/>
    <xf numFmtId="0" fontId="0" fillId="2" borderId="2" xfId="0" applyFill="1" applyBorder="1" applyAlignment="1"/>
    <xf numFmtId="0" fontId="0" fillId="2" borderId="3" xfId="0" applyFill="1" applyBorder="1" applyAlignment="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applyBorder="1" applyAlignment="1"/>
    <xf numFmtId="0" fontId="0" fillId="2" borderId="0" xfId="0" applyFill="1" applyBorder="1" applyAlignment="1"/>
    <xf numFmtId="0" fontId="5" fillId="3" borderId="0" xfId="0" applyFont="1" applyFill="1"/>
    <xf numFmtId="0" fontId="0" fillId="2" borderId="1" xfId="0" applyFill="1" applyBorder="1"/>
    <xf numFmtId="0" fontId="0" fillId="2" borderId="2" xfId="0" applyFill="1" applyBorder="1"/>
    <xf numFmtId="0" fontId="0" fillId="2" borderId="3" xfId="0" applyFill="1" applyBorder="1"/>
    <xf numFmtId="0" fontId="0" fillId="2" borderId="0" xfId="0" applyFill="1" applyBorder="1" applyAlignment="1">
      <alignment vertical="center" wrapText="1"/>
    </xf>
    <xf numFmtId="0" fontId="0" fillId="2" borderId="5" xfId="0"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applyAlignment="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Border="1" applyAlignment="1">
      <alignment horizontal="center"/>
    </xf>
    <xf numFmtId="0" fontId="5" fillId="2" borderId="0" xfId="0" applyFont="1" applyFill="1"/>
    <xf numFmtId="0" fontId="0" fillId="0" borderId="9" xfId="0" applyBorder="1"/>
    <xf numFmtId="0" fontId="3" fillId="0" borderId="0" xfId="0" applyFont="1"/>
    <xf numFmtId="0" fontId="0" fillId="0" borderId="0" xfId="0" applyBorder="1" applyAlignment="1"/>
    <xf numFmtId="0" fontId="6" fillId="0" borderId="0" xfId="0" applyFont="1" applyBorder="1" applyAlignment="1"/>
    <xf numFmtId="0" fontId="6" fillId="0" borderId="5" xfId="0" applyFont="1" applyBorder="1" applyAlignment="1"/>
    <xf numFmtId="14" fontId="0" fillId="2" borderId="0" xfId="0" applyNumberFormat="1" applyFill="1"/>
    <xf numFmtId="0" fontId="0" fillId="0" borderId="9" xfId="0" applyFill="1" applyBorder="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Border="1" applyProtection="1">
      <protection locked="0"/>
    </xf>
    <xf numFmtId="0" fontId="0" fillId="0" borderId="0" xfId="0" applyBorder="1" applyProtection="1">
      <protection locked="0"/>
    </xf>
    <xf numFmtId="0" fontId="4" fillId="2" borderId="0" xfId="0" applyFont="1" applyFill="1" applyBorder="1"/>
    <xf numFmtId="0" fontId="4" fillId="0" borderId="0" xfId="0" applyFont="1"/>
    <xf numFmtId="0" fontId="4" fillId="2" borderId="0" xfId="0" applyFont="1" applyFill="1"/>
    <xf numFmtId="0" fontId="0" fillId="2" borderId="9" xfId="0" applyFill="1" applyBorder="1" applyAlignment="1">
      <alignment vertical="center"/>
    </xf>
    <xf numFmtId="0" fontId="0" fillId="2" borderId="0" xfId="0" applyFill="1" applyBorder="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applyFont="1"/>
    <xf numFmtId="164" fontId="15" fillId="0" borderId="0" xfId="2" applyNumberFormat="1"/>
    <xf numFmtId="0" fontId="15" fillId="4" borderId="0" xfId="2" applyFont="1" applyFill="1"/>
    <xf numFmtId="0" fontId="15" fillId="4" borderId="0" xfId="2" applyFont="1" applyFill="1" applyBorder="1"/>
    <xf numFmtId="0" fontId="15" fillId="4" borderId="0" xfId="2" applyFont="1"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Fill="1" applyBorder="1" applyProtection="1">
      <protection hidden="1"/>
    </xf>
    <xf numFmtId="0" fontId="0" fillId="2" borderId="0" xfId="0" applyFill="1" applyBorder="1" applyAlignment="1">
      <alignment horizontal="center"/>
    </xf>
    <xf numFmtId="0" fontId="4" fillId="2" borderId="0" xfId="0" applyFont="1" applyFill="1" applyProtection="1"/>
    <xf numFmtId="0" fontId="0" fillId="2" borderId="0" xfId="0" applyFill="1" applyBorder="1" applyAlignment="1" applyProtection="1"/>
    <xf numFmtId="0" fontId="0" fillId="0" borderId="0" xfId="0" applyBorder="1" applyProtection="1"/>
    <xf numFmtId="0" fontId="0" fillId="2" borderId="5" xfId="0" applyFill="1" applyBorder="1" applyProtection="1"/>
    <xf numFmtId="0" fontId="0" fillId="0" borderId="0" xfId="0" applyFill="1" applyProtection="1"/>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horizontal="center"/>
    </xf>
    <xf numFmtId="0" fontId="2" fillId="3" borderId="19" xfId="0" applyFont="1" applyFill="1" applyBorder="1" applyAlignment="1">
      <alignment horizontal="center"/>
    </xf>
    <xf numFmtId="0" fontId="0" fillId="2" borderId="0" xfId="0" applyFill="1" applyProtection="1">
      <protection locked="0"/>
    </xf>
    <xf numFmtId="0" fontId="12" fillId="0" borderId="4"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0" fillId="0" borderId="0" xfId="0" applyBorder="1" applyAlignment="1">
      <alignment horizontal="left" wrapText="1"/>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Border="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Border="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Border="1" applyAlignment="1">
      <alignment horizontal="center" vertical="center"/>
    </xf>
    <xf numFmtId="0" fontId="0" fillId="2" borderId="21" xfId="0" applyFill="1" applyBorder="1" applyAlignment="1">
      <alignment horizontal="left" wrapText="1"/>
    </xf>
    <xf numFmtId="0" fontId="0" fillId="0" borderId="0" xfId="0" applyBorder="1" applyAlignment="1">
      <alignment horizontal="center"/>
    </xf>
    <xf numFmtId="0" fontId="0" fillId="6" borderId="23" xfId="0" applyFill="1" applyBorder="1" applyAlignment="1" applyProtection="1">
      <alignment horizontal="center" vertical="top"/>
      <protection locked="0"/>
    </xf>
    <xf numFmtId="0" fontId="0" fillId="6" borderId="27" xfId="0" applyFill="1" applyBorder="1" applyAlignment="1" applyProtection="1">
      <alignment horizontal="center" vertical="top"/>
      <protection locked="0"/>
    </xf>
    <xf numFmtId="0" fontId="0" fillId="6" borderId="24" xfId="0"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Border="1" applyAlignment="1">
      <alignment horizontal="center"/>
    </xf>
  </cellXfs>
  <cellStyles count="3">
    <cellStyle name="Excel Built-in Normal" xfId="2" xr:uid="{00000000-0005-0000-0000-000000000000}"/>
    <cellStyle name="Normal" xfId="0" builtinId="0"/>
    <cellStyle name="Porcentaje" xfId="1" builtinId="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theme/theme1.xml" Type="http://schemas.openxmlformats.org/officeDocument/2006/relationships/theme"/>
<Relationship Id="rId11" Target="styles.xml" Type="http://schemas.openxmlformats.org/officeDocument/2006/relationships/styles"/>
<Relationship Id="rId12" Target="sharedStrings.xml" Type="http://schemas.openxmlformats.org/officeDocument/2006/relationships/sharedStrings"/>
<Relationship Id="rId13"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_rels/drawing1.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USUARIOS!A1" Type="http://schemas.openxmlformats.org/officeDocument/2006/relationships/hyperlink"/>
<Relationship Id="rId5" Target="#ABOGADOS!A1" Type="http://schemas.openxmlformats.org/officeDocument/2006/relationships/hyperlink"/>
<Relationship Id="rId6" Target="#PAGOS!A1" Type="http://schemas.openxmlformats.org/officeDocument/2006/relationships/hyperlink"/>
<Relationship Id="rId7" Target="#'Resumen General'!A1" Type="http://schemas.openxmlformats.org/officeDocument/2006/relationships/hyperlink"/>
</Relationships>

</file>

<file path=xl/drawings/_rels/drawing2.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ABOGADOS!A1" Type="http://schemas.openxmlformats.org/officeDocument/2006/relationships/hyperlink"/>
<Relationship Id="rId6" Target="#PAGOS!A1" Type="http://schemas.openxmlformats.org/officeDocument/2006/relationships/hyperlink"/>
</Relationships>

</file>

<file path=xl/drawings/_rels/drawing3.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4.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ABOGADO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5.xml.rels><?xml version="1.0" encoding="UTF-8" standalone="no"?>
<Relationships xmlns="http://schemas.openxmlformats.org/package/2006/relationships">
<Relationship Id="rId1" Target="#ABOGADO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6.xml.rels><?xml version="1.0" encoding="UTF-8" standalone="no"?>
<Relationships xmlns="http://schemas.openxmlformats.org/package/2006/relationships">
<Relationship Id="rId1" Target="#PREJUDICIALES!A1" Type="http://schemas.openxmlformats.org/officeDocument/2006/relationships/hyperlink"/>
<Relationship Id="rId2" Target="#ABOGAD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PAGOS!A1" Type="http://schemas.openxmlformats.org/officeDocument/2006/relationships/hyperlink"/>
</Relationships>

</file>

<file path=xl/drawings/_rels/drawing7.xml.rels><?xml version="1.0" encoding="UTF-8" standalone="no"?>
<Relationships xmlns="http://schemas.openxmlformats.org/package/2006/relationships">
<Relationship Id="rId1" Target="#PREJUDICIALES!A1" Type="http://schemas.openxmlformats.org/officeDocument/2006/relationships/hyperlink"/>
<Relationship Id="rId2" Target="#ARBITRAMENTOS!A1" Type="http://schemas.openxmlformats.org/officeDocument/2006/relationships/hyperlink"/>
<Relationship Id="rId3" Target="#JUDICIALES!A1" Type="http://schemas.openxmlformats.org/officeDocument/2006/relationships/hyperlink"/>
<Relationship Id="rId4" Target="#Principal!A1" Type="http://schemas.openxmlformats.org/officeDocument/2006/relationships/hyperlink"/>
<Relationship Id="rId5" Target="#USUARIOS!A1" Type="http://schemas.openxmlformats.org/officeDocument/2006/relationships/hyperlink"/>
<Relationship Id="rId6" Target="#ABOGADOS!A1" Type="http://schemas.openxmlformats.org/officeDocument/2006/relationships/hyperlink"/>
</Relationships>

</file>

<file path=xl/drawings/_rels/drawing8.xml.rels><?xml version="1.0" encoding="UTF-8" standalone="no"?>
<Relationships xmlns="http://schemas.openxmlformats.org/package/2006/relationships">
<Relationship Id="rId1" Target="#Principal!A1"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4.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93" t="s">
        <v>75</v>
      </c>
      <c r="C3" s="94"/>
      <c r="D3" s="94"/>
      <c r="E3" s="94"/>
      <c r="F3" s="94"/>
      <c r="G3" s="94"/>
      <c r="H3" s="94"/>
      <c r="I3" s="94"/>
      <c r="J3" s="94"/>
      <c r="K3" s="94"/>
      <c r="L3" s="94"/>
      <c r="M3" s="94"/>
      <c r="N3" s="94"/>
      <c r="O3" s="95"/>
    </row>
    <row r="4" spans="2:15" ht="23.25" x14ac:dyDescent="0.35">
      <c r="B4" s="93" t="s">
        <v>11</v>
      </c>
      <c r="C4" s="94"/>
      <c r="D4" s="94"/>
      <c r="E4" s="94"/>
      <c r="F4" s="94"/>
      <c r="G4" s="94"/>
      <c r="H4" s="94"/>
      <c r="I4" s="94"/>
      <c r="J4" s="94"/>
      <c r="K4" s="94"/>
      <c r="L4" s="94"/>
      <c r="M4" s="94"/>
      <c r="N4" s="94"/>
      <c r="O4" s="95"/>
    </row>
    <row r="5" spans="2:15" x14ac:dyDescent="0.25">
      <c r="B5" s="5"/>
      <c r="C5" s="6"/>
      <c r="D5" s="6"/>
      <c r="E5" s="6"/>
      <c r="F5" s="6"/>
      <c r="G5" s="6"/>
      <c r="H5" s="6"/>
      <c r="I5" s="6"/>
      <c r="J5" s="6"/>
      <c r="K5" s="6"/>
      <c r="L5" s="6"/>
      <c r="M5" s="6"/>
      <c r="N5" s="6"/>
      <c r="O5" s="7"/>
    </row>
    <row r="6" spans="2:15" x14ac:dyDescent="0.25">
      <c r="B6" s="5"/>
      <c r="C6" s="96" t="s">
        <v>87</v>
      </c>
      <c r="D6" s="96"/>
      <c r="E6" s="96"/>
      <c r="F6" s="96"/>
      <c r="G6" s="96"/>
      <c r="H6" s="96"/>
      <c r="I6" s="96"/>
      <c r="J6" s="96"/>
      <c r="K6" s="96"/>
      <c r="L6" s="96"/>
      <c r="M6" s="96"/>
      <c r="N6" s="96"/>
      <c r="O6" s="7"/>
    </row>
    <row r="7" spans="2:15" x14ac:dyDescent="0.25">
      <c r="B7" s="5"/>
      <c r="C7" s="96"/>
      <c r="D7" s="96"/>
      <c r="E7" s="96"/>
      <c r="F7" s="96"/>
      <c r="G7" s="96"/>
      <c r="H7" s="96"/>
      <c r="I7" s="96"/>
      <c r="J7" s="96"/>
      <c r="K7" s="96"/>
      <c r="L7" s="96"/>
      <c r="M7" s="96"/>
      <c r="N7" s="96"/>
      <c r="O7" s="7"/>
    </row>
    <row r="8" spans="2:15" x14ac:dyDescent="0.25">
      <c r="B8" s="5"/>
      <c r="C8" s="6"/>
      <c r="D8" s="6"/>
      <c r="E8" s="6"/>
      <c r="F8" s="6"/>
      <c r="G8" s="6"/>
      <c r="H8" s="6"/>
      <c r="I8" s="6"/>
      <c r="J8" s="6"/>
      <c r="K8" s="6"/>
      <c r="L8" s="6"/>
      <c r="M8" s="6"/>
      <c r="N8" s="6"/>
      <c r="O8" s="7"/>
    </row>
    <row r="9" spans="2:15" x14ac:dyDescent="0.25">
      <c r="B9" s="5"/>
      <c r="C9" s="6"/>
      <c r="D9" s="6"/>
      <c r="E9" s="6"/>
      <c r="F9" s="6"/>
      <c r="G9" s="6"/>
      <c r="H9" s="6"/>
      <c r="I9" s="6"/>
      <c r="J9" s="6"/>
      <c r="K9" s="6"/>
      <c r="L9" s="6"/>
      <c r="M9" s="6"/>
      <c r="N9" s="6"/>
      <c r="O9" s="7"/>
    </row>
    <row r="10" spans="2:15" x14ac:dyDescent="0.25">
      <c r="B10" s="5"/>
      <c r="C10" s="6"/>
      <c r="D10" s="6"/>
      <c r="E10" s="6"/>
      <c r="F10" s="6"/>
      <c r="G10" s="6"/>
      <c r="H10" s="6"/>
      <c r="I10" s="6"/>
      <c r="J10" s="6"/>
      <c r="K10" s="6"/>
      <c r="L10" s="6"/>
      <c r="M10" s="6"/>
      <c r="N10" s="6"/>
      <c r="O10" s="7"/>
    </row>
    <row r="11" spans="2:15" x14ac:dyDescent="0.25">
      <c r="B11" s="5"/>
      <c r="C11" s="6"/>
      <c r="D11" s="6"/>
      <c r="E11" s="6"/>
      <c r="F11" s="6"/>
      <c r="G11" s="6"/>
      <c r="H11" s="6"/>
      <c r="I11" s="6"/>
      <c r="J11" s="6"/>
      <c r="K11" s="6"/>
      <c r="L11" s="6"/>
      <c r="M11" s="6"/>
      <c r="N11" s="6"/>
      <c r="O11" s="7"/>
    </row>
    <row r="12" spans="2:15" x14ac:dyDescent="0.25">
      <c r="B12" s="5"/>
      <c r="C12" s="6"/>
      <c r="D12" s="6"/>
      <c r="E12" s="6"/>
      <c r="F12" s="6"/>
      <c r="G12" s="6"/>
      <c r="H12" s="6"/>
      <c r="I12" s="6"/>
      <c r="J12" s="6"/>
      <c r="K12" s="6"/>
      <c r="L12" s="6"/>
      <c r="M12" s="6"/>
      <c r="N12" s="6"/>
      <c r="O12" s="7"/>
    </row>
    <row r="13" spans="2:15" x14ac:dyDescent="0.25">
      <c r="B13" s="5"/>
      <c r="C13" s="6"/>
      <c r="D13" s="6"/>
      <c r="E13" s="6"/>
      <c r="F13" s="6"/>
      <c r="G13" s="6"/>
      <c r="H13" s="6"/>
      <c r="I13" s="6"/>
      <c r="J13" s="6"/>
      <c r="K13" s="6"/>
      <c r="L13" s="6"/>
      <c r="M13" s="6"/>
      <c r="N13" s="6"/>
      <c r="O13" s="7"/>
    </row>
    <row r="14" spans="2:15" x14ac:dyDescent="0.25">
      <c r="B14" s="5"/>
      <c r="C14" s="6"/>
      <c r="D14" s="6"/>
      <c r="E14" s="6"/>
      <c r="F14" s="6"/>
      <c r="G14" s="6"/>
      <c r="H14" s="6"/>
      <c r="I14" s="6"/>
      <c r="J14" s="6"/>
      <c r="K14" s="6"/>
      <c r="L14" s="6"/>
      <c r="M14" s="6"/>
      <c r="N14" s="6"/>
      <c r="O14" s="7"/>
    </row>
    <row r="15" spans="2:15" x14ac:dyDescent="0.25">
      <c r="B15" s="5"/>
      <c r="C15" s="6"/>
      <c r="D15" s="6"/>
      <c r="E15" s="6"/>
      <c r="F15" s="6"/>
      <c r="G15" s="6"/>
      <c r="H15" s="6"/>
      <c r="I15" s="6"/>
      <c r="J15" s="6"/>
      <c r="K15" s="6"/>
      <c r="L15" s="6"/>
      <c r="M15" s="6"/>
      <c r="N15" s="6"/>
      <c r="O15" s="7"/>
    </row>
    <row r="16" spans="2:15" x14ac:dyDescent="0.25">
      <c r="B16" s="5"/>
      <c r="C16" s="6"/>
      <c r="D16" s="6"/>
      <c r="E16" s="6"/>
      <c r="F16" s="6"/>
      <c r="G16" s="6"/>
      <c r="H16" s="6"/>
      <c r="I16" s="6"/>
      <c r="J16" s="6"/>
      <c r="K16" s="6"/>
      <c r="L16" s="6"/>
      <c r="M16" s="6"/>
      <c r="N16" s="6"/>
      <c r="O16" s="7"/>
    </row>
    <row r="17" spans="2:15" x14ac:dyDescent="0.25">
      <c r="B17" s="5"/>
      <c r="C17" s="6"/>
      <c r="D17" s="6"/>
      <c r="E17" s="6"/>
      <c r="F17" s="6"/>
      <c r="G17" s="6"/>
      <c r="H17" s="6"/>
      <c r="I17" s="6"/>
      <c r="J17" s="6"/>
      <c r="K17" s="6"/>
      <c r="L17" s="6"/>
      <c r="M17" s="6"/>
      <c r="N17" s="6"/>
      <c r="O17" s="7"/>
    </row>
    <row r="18" spans="2:15" ht="15.75" thickBot="1" x14ac:dyDescent="0.3">
      <c r="B18" s="8"/>
      <c r="C18" s="9"/>
      <c r="D18" s="9"/>
      <c r="E18" s="9"/>
      <c r="F18" s="9"/>
      <c r="G18" s="9"/>
      <c r="H18" s="9"/>
      <c r="I18" s="9"/>
      <c r="J18" s="9"/>
      <c r="K18" s="9"/>
      <c r="L18" s="9"/>
      <c r="M18" s="9"/>
      <c r="N18" s="9"/>
      <c r="O18" s="10"/>
    </row>
  </sheetData>
  <sheetProtection algorithmName="SHA-512" hashValue="fESCBRSONm1O8Dc0JOnjB+qZOu1d6CiIMR9AFNICnNkTv8GeL/e0JsFltcWbeY82mSirBMQYcES73YQY5x/fMQ==" saltValue="rfeIy2Ycu5WCYD7kyrPZ3g==" spinCount="100000" sheet="1" objects="1" scenarios="1"/>
  <mergeCells count="3">
    <mergeCell ref="B3:O3"/>
    <mergeCell ref="B4:O4"/>
    <mergeCell ref="C6:N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zoomScale="89" zoomScaleNormal="89" workbookViewId="0">
      <selection activeCell="A19" sqref="A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42"/>
    <col min="10" max="10" width="11.85546875" style="42" bestFit="1" customWidth="1"/>
    <col min="11" max="16384" width="11.42578125" style="1"/>
  </cols>
  <sheetData>
    <row r="5" spans="2:20" ht="15.75" thickBot="1" x14ac:dyDescent="0.3"/>
    <row r="6" spans="2:20" x14ac:dyDescent="0.25">
      <c r="B6" s="11"/>
      <c r="C6" s="12"/>
      <c r="D6" s="12"/>
      <c r="E6" s="12"/>
      <c r="F6" s="12"/>
      <c r="G6" s="13"/>
    </row>
    <row r="7" spans="2:20" ht="21" x14ac:dyDescent="0.35">
      <c r="B7" s="97" t="s">
        <v>105</v>
      </c>
      <c r="C7" s="98"/>
      <c r="D7" s="98"/>
      <c r="E7" s="98"/>
      <c r="F7" s="98"/>
      <c r="G7" s="99"/>
      <c r="T7" s="1" t="s">
        <v>12</v>
      </c>
    </row>
    <row r="8" spans="2:20" ht="15.75" thickBot="1" x14ac:dyDescent="0.3">
      <c r="B8" s="14"/>
      <c r="C8" s="15"/>
      <c r="D8" s="105" t="s">
        <v>143</v>
      </c>
      <c r="E8" s="105"/>
      <c r="F8" s="15"/>
      <c r="G8" s="16"/>
      <c r="T8" s="1" t="s">
        <v>13</v>
      </c>
    </row>
    <row r="9" spans="2:20" ht="15.75" thickBot="1" x14ac:dyDescent="0.3">
      <c r="B9" s="103" t="s">
        <v>107</v>
      </c>
      <c r="C9" s="104"/>
      <c r="D9" s="79">
        <v>44820</v>
      </c>
      <c r="E9" s="15"/>
      <c r="F9" s="15"/>
      <c r="G9" s="16"/>
      <c r="T9" s="1" t="s">
        <v>14</v>
      </c>
    </row>
    <row r="10" spans="2:20" x14ac:dyDescent="0.25">
      <c r="B10" s="14" t="s">
        <v>145</v>
      </c>
      <c r="C10" s="15"/>
      <c r="D10" s="15"/>
      <c r="E10" s="15"/>
      <c r="F10" s="15"/>
      <c r="G10" s="67">
        <v>43545</v>
      </c>
    </row>
    <row r="11" spans="2:20" x14ac:dyDescent="0.25">
      <c r="B11" s="22" t="s">
        <v>15</v>
      </c>
      <c r="C11" s="23" t="s">
        <v>16</v>
      </c>
      <c r="D11" s="24" t="s">
        <v>6</v>
      </c>
      <c r="E11" s="23" t="s">
        <v>7</v>
      </c>
      <c r="F11" s="23" t="s">
        <v>17</v>
      </c>
      <c r="G11" s="25" t="s">
        <v>76</v>
      </c>
    </row>
    <row r="12" spans="2:20" x14ac:dyDescent="0.25">
      <c r="B12" s="21" t="s">
        <v>0</v>
      </c>
      <c r="C12" s="78" t="s">
        <v>12</v>
      </c>
      <c r="D12" s="79">
        <v>43923</v>
      </c>
      <c r="E12" s="78" t="s">
        <v>189</v>
      </c>
      <c r="F12" s="79">
        <v>44570</v>
      </c>
      <c r="G12" s="80" t="str">
        <f>+IF(C12="SI",IF(F12&lt;$G$10,"DESACTUALIZADO",""),"")</f>
        <v/>
      </c>
      <c r="H12" s="42">
        <f t="shared" ref="H12:H17" si="0">+IF(C12="N/A",1,0)</f>
        <v>0</v>
      </c>
      <c r="I12" s="42">
        <f t="shared" ref="I12:I17" si="1">+IF(C12="Si",1,0)</f>
        <v>1</v>
      </c>
      <c r="J12" s="42">
        <f t="shared" ref="J12:J17" si="2">+IF(C12="No",1,0)</f>
        <v>0</v>
      </c>
    </row>
    <row r="13" spans="2:20" x14ac:dyDescent="0.25">
      <c r="B13" s="21" t="s">
        <v>1</v>
      </c>
      <c r="C13" s="78" t="s">
        <v>12</v>
      </c>
      <c r="D13" s="79">
        <v>43880</v>
      </c>
      <c r="E13" s="78" t="s">
        <v>190</v>
      </c>
      <c r="F13" s="79">
        <v>44742</v>
      </c>
      <c r="G13" s="80" t="str">
        <f t="shared" ref="G13:G17" si="3">+IF(C13="SI",IF(F13&lt;$G$10,"DESACTUALIZADO",""),"")</f>
        <v/>
      </c>
      <c r="H13" s="42">
        <f t="shared" si="0"/>
        <v>0</v>
      </c>
      <c r="I13" s="42">
        <f t="shared" si="1"/>
        <v>1</v>
      </c>
      <c r="J13" s="42">
        <f t="shared" si="2"/>
        <v>0</v>
      </c>
    </row>
    <row r="14" spans="2:20" x14ac:dyDescent="0.25">
      <c r="B14" s="21" t="s">
        <v>2</v>
      </c>
      <c r="C14" s="78" t="s">
        <v>13</v>
      </c>
      <c r="D14" s="92"/>
      <c r="E14" s="78"/>
      <c r="F14" s="79"/>
      <c r="G14" s="80" t="str">
        <f t="shared" si="3"/>
        <v/>
      </c>
      <c r="H14" s="42">
        <f t="shared" si="0"/>
        <v>0</v>
      </c>
      <c r="I14" s="42">
        <f t="shared" si="1"/>
        <v>0</v>
      </c>
      <c r="J14" s="42">
        <f t="shared" si="2"/>
        <v>1</v>
      </c>
      <c r="T14" s="48">
        <v>43545</v>
      </c>
    </row>
    <row r="15" spans="2:20" x14ac:dyDescent="0.25">
      <c r="B15" s="21" t="s">
        <v>3</v>
      </c>
      <c r="C15" s="78" t="s">
        <v>12</v>
      </c>
      <c r="D15" s="79">
        <v>43746</v>
      </c>
      <c r="E15" s="78" t="s">
        <v>191</v>
      </c>
      <c r="F15" s="79">
        <v>44390</v>
      </c>
      <c r="G15" s="80" t="str">
        <f t="shared" si="3"/>
        <v/>
      </c>
      <c r="H15" s="42">
        <f t="shared" si="0"/>
        <v>0</v>
      </c>
      <c r="I15" s="42">
        <f t="shared" si="1"/>
        <v>1</v>
      </c>
      <c r="J15" s="42">
        <f t="shared" si="2"/>
        <v>0</v>
      </c>
    </row>
    <row r="16" spans="2:20" x14ac:dyDescent="0.25">
      <c r="B16" s="21" t="s">
        <v>4</v>
      </c>
      <c r="C16" s="78" t="s">
        <v>12</v>
      </c>
      <c r="D16" s="79">
        <v>44586</v>
      </c>
      <c r="E16" s="78" t="s">
        <v>192</v>
      </c>
      <c r="F16" s="79">
        <v>44742</v>
      </c>
      <c r="G16" s="80" t="str">
        <f t="shared" si="3"/>
        <v/>
      </c>
      <c r="H16" s="42">
        <f t="shared" si="0"/>
        <v>0</v>
      </c>
      <c r="I16" s="42">
        <f t="shared" si="1"/>
        <v>1</v>
      </c>
      <c r="J16" s="42">
        <f t="shared" si="2"/>
        <v>0</v>
      </c>
    </row>
    <row r="17" spans="2:10" x14ac:dyDescent="0.25">
      <c r="B17" s="21" t="s">
        <v>5</v>
      </c>
      <c r="C17" s="78" t="s">
        <v>12</v>
      </c>
      <c r="D17" s="79">
        <v>44586</v>
      </c>
      <c r="E17" s="78" t="s">
        <v>192</v>
      </c>
      <c r="F17" s="79">
        <v>44743</v>
      </c>
      <c r="G17" s="80" t="str">
        <f t="shared" si="3"/>
        <v/>
      </c>
      <c r="H17" s="42">
        <f t="shared" si="0"/>
        <v>0</v>
      </c>
      <c r="I17" s="42">
        <f t="shared" si="1"/>
        <v>1</v>
      </c>
      <c r="J17" s="42">
        <f t="shared" si="2"/>
        <v>0</v>
      </c>
    </row>
    <row r="18" spans="2:10" x14ac:dyDescent="0.25">
      <c r="B18" s="14"/>
      <c r="C18" s="15"/>
      <c r="D18" s="15"/>
      <c r="E18" s="15"/>
      <c r="F18" s="15"/>
      <c r="G18" s="16"/>
    </row>
    <row r="19" spans="2:10" ht="94.5" customHeight="1" thickBot="1" x14ac:dyDescent="0.3">
      <c r="B19" s="62" t="s">
        <v>90</v>
      </c>
      <c r="C19" s="100" t="s">
        <v>193</v>
      </c>
      <c r="D19" s="101"/>
      <c r="E19" s="101"/>
      <c r="F19" s="101"/>
      <c r="G19" s="102"/>
    </row>
  </sheetData>
  <sheetProtection algorithmName="SHA-512" hashValue="guBwrDrRnk1KuL1QTxzhX+93X5l/aUSlJP3gAz5OjRJbKk1gJlGrcA8FEPrUFZMHmi3icEReOMBE9XonogNp0w==" saltValue="7DocmJkL4AB8U+xMv4KRdA==" spinCount="100000" sheet="1" objects="1" scenarios="1"/>
  <dataConsolidate/>
  <mergeCells count="4">
    <mergeCell ref="B7:G7"/>
    <mergeCell ref="C19:G19"/>
    <mergeCell ref="B9:C9"/>
    <mergeCell ref="D8:E8"/>
  </mergeCells>
  <conditionalFormatting sqref="C12:C17">
    <cfRule type="containsText" dxfId="41" priority="14" operator="containsText" text="N/A">
      <formula>NOT(ISERROR(SEARCH("N/A",C12)))</formula>
    </cfRule>
    <cfRule type="containsBlanks" dxfId="40" priority="22">
      <formula>LEN(TRIM(C12))=0</formula>
    </cfRule>
  </conditionalFormatting>
  <conditionalFormatting sqref="D9 D12:F13 E14:F14 D15:F17">
    <cfRule type="containsBlanks" dxfId="39" priority="21">
      <formula>LEN(TRIM(D9))=0</formula>
    </cfRule>
  </conditionalFormatting>
  <conditionalFormatting sqref="C19">
    <cfRule type="containsBlanks" dxfId="38" priority="15">
      <formula>LEN(TRIM(C19))=0</formula>
    </cfRule>
  </conditionalFormatting>
  <conditionalFormatting sqref="D12:F13 E14:F14 D15:F17">
    <cfRule type="expression" dxfId="37" priority="10">
      <formula>OR($C$12="No",$C$12="N/A")</formula>
    </cfRule>
  </conditionalFormatting>
  <conditionalFormatting sqref="E14:F14 D15">
    <cfRule type="expression" dxfId="36" priority="9">
      <formula>OR($C$14="No",$C$14="N/A")</formula>
    </cfRule>
  </conditionalFormatting>
  <conditionalFormatting sqref="D13:F13">
    <cfRule type="expression" dxfId="35" priority="7">
      <formula>OR($C$13="No",$C$13="N/A")</formula>
    </cfRule>
  </conditionalFormatting>
  <conditionalFormatting sqref="D15:F15">
    <cfRule type="expression" dxfId="34" priority="5">
      <formula>OR($C$15="No",$C$15="N/A")</formula>
    </cfRule>
  </conditionalFormatting>
  <conditionalFormatting sqref="D16:F16">
    <cfRule type="expression" dxfId="33" priority="4">
      <formula>OR($C$16="No",$C$16="N/A")</formula>
    </cfRule>
  </conditionalFormatting>
  <conditionalFormatting sqref="D17:F17">
    <cfRule type="expression" dxfId="32" priority="3">
      <formula>OR($C$17="No",$C$17="N/A")</formula>
    </cfRule>
  </conditionalFormatting>
  <conditionalFormatting sqref="F13:F17">
    <cfRule type="expression" dxfId="31" priority="2">
      <formula>OR($C$12="No",$C$12="N/A")</formula>
    </cfRule>
  </conditionalFormatting>
  <conditionalFormatting sqref="D17:E17">
    <cfRule type="expression" dxfId="30" priority="1">
      <formula>OR($C$16="No",$C$16="N/A")</formula>
    </cfRule>
  </conditionalFormatting>
  <dataValidations count="5">
    <dataValidation type="date" showInputMessage="1" showErrorMessage="1" promptTitle="Fecha de Generacion del Reporte" prompt="Indique la fecha en que genera o Elabora este reporte de Usuarios Activos  No Abogados" sqref="D9" xr:uid="{00000000-0002-0000-0100-000000000000}">
      <formula1>44742</formula1>
      <formula2>44823</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1/03/2022" promptTitle="Fecha de Creación del Rol" prompt="Indique la ultima fecha de Creación del Rol en Ekogui que se encuentra en estado Activo en el formato &quot;DD/MM/AAAA&quot;" sqref="F12:F17 D12:D13 D15:D17" xr:uid="{00000000-0002-0000-0100-000004000000}">
      <formula1>40544</formula1>
      <formula2>44823</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zoomScale="91" zoomScaleNormal="91" workbookViewId="0">
      <selection activeCell="C22" sqref="C22:G25"/>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+IF(D12&lt;=10,D12,IF(ROUNDDOWN(D12*10%,0)&lt;10,10,ROUNDDOWN(D12*10%,0)))</f>
        <v>10</v>
      </c>
    </row>
    <row r="4" spans="2:22" x14ac:dyDescent="0.25">
      <c r="B4" s="14"/>
      <c r="C4" s="15"/>
      <c r="D4" s="15"/>
      <c r="E4" s="15"/>
      <c r="F4" s="15"/>
      <c r="G4" s="15"/>
      <c r="H4" s="16"/>
    </row>
    <row r="5" spans="2:22" x14ac:dyDescent="0.25">
      <c r="B5" s="14"/>
      <c r="C5" s="15"/>
      <c r="D5" s="15" t="s">
        <v>143</v>
      </c>
      <c r="E5" s="15"/>
      <c r="F5" s="15"/>
      <c r="G5" s="15"/>
      <c r="H5" s="16"/>
    </row>
    <row r="6" spans="2:22" ht="15" customHeight="1" x14ac:dyDescent="0.25">
      <c r="B6" s="14"/>
      <c r="C6" s="27"/>
      <c r="D6" s="27"/>
      <c r="E6" s="27"/>
      <c r="G6" s="32"/>
      <c r="H6" s="33"/>
    </row>
    <row r="7" spans="2:22" ht="17.25" customHeight="1" x14ac:dyDescent="0.35">
      <c r="B7" s="14"/>
      <c r="C7" s="20" t="s">
        <v>107</v>
      </c>
      <c r="D7" s="79">
        <v>44820</v>
      </c>
      <c r="E7" s="26"/>
      <c r="F7" s="106" t="str">
        <f>"Seleccione una muestra de "&amp;V3&amp;" abogados activos y complete la siguiente tabla"</f>
        <v>Seleccione una muestra de 10 abogados activos y complete la siguiente tabla</v>
      </c>
      <c r="G7" s="107"/>
      <c r="H7" s="33"/>
    </row>
    <row r="8" spans="2:22" x14ac:dyDescent="0.25">
      <c r="B8" s="14"/>
      <c r="D8" s="15"/>
      <c r="E8" s="15"/>
      <c r="F8" s="108"/>
      <c r="G8" s="109"/>
      <c r="H8" s="16"/>
      <c r="T8" s="1" t="s">
        <v>13</v>
      </c>
    </row>
    <row r="9" spans="2:22" ht="23.25" x14ac:dyDescent="0.25">
      <c r="B9" s="14"/>
      <c r="C9" s="34" t="s">
        <v>149</v>
      </c>
      <c r="E9" s="6"/>
      <c r="F9" s="24" t="s">
        <v>94</v>
      </c>
      <c r="G9" s="24" t="s">
        <v>19</v>
      </c>
      <c r="H9" s="16"/>
      <c r="T9" s="1" t="s">
        <v>14</v>
      </c>
    </row>
    <row r="10" spans="2:22" x14ac:dyDescent="0.25">
      <c r="B10" s="14"/>
      <c r="C10" s="23" t="s">
        <v>150</v>
      </c>
      <c r="D10" s="23" t="s">
        <v>23</v>
      </c>
      <c r="E10" s="6"/>
      <c r="F10" s="20" t="s">
        <v>91</v>
      </c>
      <c r="G10" s="78">
        <v>10</v>
      </c>
      <c r="H10" s="16"/>
    </row>
    <row r="11" spans="2:22" x14ac:dyDescent="0.25">
      <c r="B11" s="14"/>
      <c r="C11" s="20" t="s">
        <v>162</v>
      </c>
      <c r="D11" s="78">
        <v>8</v>
      </c>
      <c r="E11" s="6"/>
      <c r="F11" s="20" t="s">
        <v>92</v>
      </c>
      <c r="G11" s="78">
        <v>10</v>
      </c>
      <c r="H11" s="16"/>
    </row>
    <row r="12" spans="2:22" x14ac:dyDescent="0.25">
      <c r="B12" s="14"/>
      <c r="C12" s="20" t="s">
        <v>22</v>
      </c>
      <c r="D12" s="78">
        <v>14</v>
      </c>
      <c r="E12" s="6"/>
      <c r="F12" s="20" t="s">
        <v>93</v>
      </c>
      <c r="G12" s="78">
        <v>10</v>
      </c>
      <c r="H12" s="16"/>
    </row>
    <row r="13" spans="2:22" x14ac:dyDescent="0.25">
      <c r="B13" s="14"/>
      <c r="C13" s="20" t="s">
        <v>26</v>
      </c>
      <c r="D13" s="78">
        <v>14</v>
      </c>
      <c r="E13" s="6"/>
      <c r="F13" s="52" t="s">
        <v>99</v>
      </c>
      <c r="G13" s="51"/>
      <c r="H13" s="16"/>
    </row>
    <row r="14" spans="2:22" x14ac:dyDescent="0.25">
      <c r="B14" s="14"/>
      <c r="E14" s="6"/>
      <c r="F14" s="53" t="s">
        <v>100</v>
      </c>
      <c r="G14" s="54"/>
      <c r="H14" s="16"/>
    </row>
    <row r="15" spans="2:22" x14ac:dyDescent="0.25">
      <c r="B15" s="14"/>
      <c r="E15" s="6"/>
      <c r="H15" s="16"/>
    </row>
    <row r="16" spans="2:22" x14ac:dyDescent="0.25">
      <c r="B16" s="14"/>
      <c r="C16" s="23" t="s">
        <v>24</v>
      </c>
      <c r="D16" s="23" t="s">
        <v>23</v>
      </c>
      <c r="E16" s="6"/>
      <c r="F16" s="24" t="s">
        <v>103</v>
      </c>
      <c r="G16" s="24" t="s">
        <v>19</v>
      </c>
      <c r="H16" s="16"/>
    </row>
    <row r="17" spans="2:8" x14ac:dyDescent="0.25">
      <c r="B17" s="14"/>
      <c r="C17" s="20" t="s">
        <v>163</v>
      </c>
      <c r="D17" s="78">
        <v>0</v>
      </c>
      <c r="E17" s="6"/>
      <c r="F17" s="20" t="s">
        <v>106</v>
      </c>
      <c r="G17" s="78">
        <v>14</v>
      </c>
      <c r="H17" s="16"/>
    </row>
    <row r="18" spans="2:8" x14ac:dyDescent="0.25">
      <c r="B18" s="14"/>
      <c r="C18" s="20" t="s">
        <v>181</v>
      </c>
      <c r="D18" s="78">
        <v>0</v>
      </c>
      <c r="E18" s="6"/>
      <c r="F18" s="49" t="s">
        <v>77</v>
      </c>
      <c r="G18" s="78">
        <v>0</v>
      </c>
      <c r="H18" s="16"/>
    </row>
    <row r="19" spans="2:8" x14ac:dyDescent="0.25">
      <c r="B19" s="14"/>
      <c r="C19" s="59"/>
      <c r="E19" s="6"/>
      <c r="F19" s="20" t="s">
        <v>96</v>
      </c>
      <c r="G19" s="78">
        <v>0</v>
      </c>
      <c r="H19" s="16"/>
    </row>
    <row r="20" spans="2:8" x14ac:dyDescent="0.25">
      <c r="B20" s="14"/>
      <c r="C20" s="59"/>
      <c r="E20" s="6"/>
      <c r="F20" s="20" t="s">
        <v>25</v>
      </c>
      <c r="G20" s="78">
        <v>0</v>
      </c>
      <c r="H20" s="16"/>
    </row>
    <row r="21" spans="2:8" x14ac:dyDescent="0.25">
      <c r="B21" s="14"/>
      <c r="C21" s="82" t="s">
        <v>95</v>
      </c>
      <c r="D21" s="83"/>
      <c r="E21" s="84"/>
      <c r="F21" s="86"/>
      <c r="G21" s="86"/>
      <c r="H21" s="85"/>
    </row>
    <row r="22" spans="2:8" x14ac:dyDescent="0.25">
      <c r="B22" s="14"/>
      <c r="C22" s="110"/>
      <c r="D22" s="111"/>
      <c r="E22" s="111"/>
      <c r="F22" s="111"/>
      <c r="G22" s="112"/>
      <c r="H22" s="16"/>
    </row>
    <row r="23" spans="2:8" x14ac:dyDescent="0.25">
      <c r="B23" s="14"/>
      <c r="C23" s="113"/>
      <c r="D23" s="114"/>
      <c r="E23" s="114"/>
      <c r="F23" s="114"/>
      <c r="G23" s="115"/>
      <c r="H23" s="16"/>
    </row>
    <row r="24" spans="2:8" x14ac:dyDescent="0.25">
      <c r="B24" s="14"/>
      <c r="C24" s="113"/>
      <c r="D24" s="114"/>
      <c r="E24" s="114"/>
      <c r="F24" s="114"/>
      <c r="G24" s="115"/>
      <c r="H24" s="16"/>
    </row>
    <row r="25" spans="2:8" x14ac:dyDescent="0.25">
      <c r="B25" s="14"/>
      <c r="C25" s="116"/>
      <c r="D25" s="117"/>
      <c r="E25" s="117"/>
      <c r="F25" s="117"/>
      <c r="G25" s="118"/>
      <c r="H25" s="16"/>
    </row>
    <row r="26" spans="2:8" ht="15.75" thickBot="1" x14ac:dyDescent="0.3">
      <c r="B26" s="17"/>
      <c r="C26" s="18"/>
      <c r="D26" s="18"/>
      <c r="E26" s="18"/>
      <c r="F26" s="18"/>
      <c r="G26" s="18"/>
      <c r="H26" s="19"/>
    </row>
  </sheetData>
  <sheetProtection algorithmName="SHA-512" hashValue="8RVfEKhnYWfIrZgxadx6Lc2rQDLeuKO1UW4AlYqnO3coVmDLUoIAogyz2Won+/zis7CW1pAtLh7Ek1Vaki8u8w==" saltValue="vQUyMhNw20AE2MFLVmAxDA==" spinCount="100000" sheet="1" objects="1" scenarios="1"/>
  <mergeCells count="2">
    <mergeCell ref="F7:G8"/>
    <mergeCell ref="C22:G25"/>
  </mergeCells>
  <conditionalFormatting sqref="D11:D13">
    <cfRule type="containsBlanks" dxfId="29" priority="13">
      <formula>LEN(TRIM(D11))=0</formula>
    </cfRule>
  </conditionalFormatting>
  <conditionalFormatting sqref="C22">
    <cfRule type="containsBlanks" dxfId="28" priority="9">
      <formula>LEN(TRIM(C22))=0</formula>
    </cfRule>
  </conditionalFormatting>
  <conditionalFormatting sqref="D17:D18">
    <cfRule type="containsBlanks" dxfId="27" priority="5">
      <formula>LEN(TRIM(D17))=0</formula>
    </cfRule>
  </conditionalFormatting>
  <conditionalFormatting sqref="G10:G12">
    <cfRule type="containsBlanks" dxfId="26" priority="4">
      <formula>LEN(TRIM(G10))=0</formula>
    </cfRule>
  </conditionalFormatting>
  <conditionalFormatting sqref="G17:G20">
    <cfRule type="containsBlanks" dxfId="25" priority="3">
      <formula>LEN(TRIM(G17))=0</formula>
    </cfRule>
  </conditionalFormatting>
  <conditionalFormatting sqref="D7">
    <cfRule type="containsBlanks" dxfId="24" priority="1">
      <formula>LEN(TRIM(D7))=0</formula>
    </cfRule>
  </conditionalFormatting>
  <dataValidations count="2">
    <dataValidation type="whole" operator="greaterThanOrEqual" showInputMessage="1" showErrorMessage="1" errorTitle="Numero Invalido" promptTitle="Ingrese la cantidad Solicitada" prompt="Ingrese la cantidad Solicitada" sqref="G17:G20 D17:D18 G10:G12 D11:D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44742</formula1>
      <formula2>44823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34" sqref="F34"/>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5.28515625" style="1" customWidth="1"/>
    <col min="9" max="9" width="7.28515625" style="1" customWidth="1"/>
    <col min="10" max="16384" width="11.42578125" style="1"/>
  </cols>
  <sheetData>
    <row r="1" spans="2:23" ht="15.75" thickBot="1" x14ac:dyDescent="0.3"/>
    <row r="2" spans="2:23" ht="9" customHeight="1" x14ac:dyDescent="0.25">
      <c r="B2" s="29"/>
      <c r="C2" s="30"/>
      <c r="D2" s="30"/>
      <c r="E2" s="30"/>
      <c r="F2" s="30"/>
      <c r="G2" s="30"/>
      <c r="H2" s="30"/>
      <c r="I2" s="31"/>
    </row>
    <row r="3" spans="2:23" x14ac:dyDescent="0.25">
      <c r="B3" s="14"/>
      <c r="C3" s="15"/>
      <c r="D3" s="15"/>
      <c r="E3" s="15"/>
      <c r="F3" s="15"/>
      <c r="G3" s="15"/>
      <c r="H3" s="15"/>
      <c r="I3" s="16"/>
      <c r="W3" s="28">
        <f>+IF(D17&lt;=10,D17,IF(ROUNDDOWN(D17*10%,0)&lt;10,10,ROUNDDOWN(D17*10%,0)))</f>
        <v>10</v>
      </c>
    </row>
    <row r="4" spans="2:23" x14ac:dyDescent="0.25">
      <c r="B4" s="14"/>
      <c r="C4" s="15"/>
      <c r="D4" s="15"/>
      <c r="E4" s="15"/>
      <c r="F4" s="15"/>
      <c r="G4" s="15"/>
      <c r="H4" s="15"/>
      <c r="I4" s="16"/>
    </row>
    <row r="5" spans="2:23" ht="9" customHeight="1" x14ac:dyDescent="0.25">
      <c r="B5" s="14"/>
      <c r="C5" s="15"/>
      <c r="D5" s="15"/>
      <c r="E5" s="15"/>
      <c r="F5" s="15"/>
      <c r="G5" s="15"/>
      <c r="H5" s="15"/>
      <c r="I5" s="16"/>
    </row>
    <row r="6" spans="2:23" ht="19.5" customHeight="1" x14ac:dyDescent="0.25">
      <c r="B6" s="14"/>
      <c r="C6" s="123" t="s">
        <v>65</v>
      </c>
      <c r="D6" s="123"/>
      <c r="E6" s="123"/>
      <c r="F6" s="123"/>
      <c r="G6" s="123"/>
      <c r="H6" s="123"/>
      <c r="I6" s="33"/>
    </row>
    <row r="7" spans="2:23" x14ac:dyDescent="0.25">
      <c r="B7" s="14"/>
      <c r="C7" s="15"/>
      <c r="D7" s="27"/>
      <c r="E7" s="81" t="s">
        <v>143</v>
      </c>
      <c r="F7" s="27"/>
      <c r="G7" s="15"/>
      <c r="H7" s="15"/>
      <c r="I7" s="16"/>
      <c r="U7" s="1" t="s">
        <v>13</v>
      </c>
    </row>
    <row r="8" spans="2:23" x14ac:dyDescent="0.25">
      <c r="B8" s="14"/>
      <c r="C8" s="23" t="s">
        <v>107</v>
      </c>
      <c r="D8" s="79">
        <v>44820</v>
      </c>
      <c r="E8" s="6"/>
      <c r="F8" s="37" t="s">
        <v>102</v>
      </c>
      <c r="G8" s="91" t="s">
        <v>18</v>
      </c>
      <c r="H8" s="15"/>
      <c r="I8" s="16"/>
      <c r="U8" s="1" t="s">
        <v>14</v>
      </c>
    </row>
    <row r="9" spans="2:23" x14ac:dyDescent="0.25">
      <c r="B9" s="14"/>
      <c r="E9" s="6"/>
      <c r="F9" s="20" t="s">
        <v>168</v>
      </c>
      <c r="G9" s="78">
        <v>1</v>
      </c>
      <c r="H9" s="15"/>
      <c r="I9" s="16"/>
    </row>
    <row r="10" spans="2:23" x14ac:dyDescent="0.25">
      <c r="B10" s="14"/>
      <c r="C10" s="23" t="s">
        <v>151</v>
      </c>
      <c r="D10" s="23" t="s">
        <v>23</v>
      </c>
      <c r="E10" s="6"/>
      <c r="F10" s="20" t="s">
        <v>57</v>
      </c>
      <c r="G10" s="78">
        <v>1</v>
      </c>
      <c r="H10" s="15"/>
      <c r="I10" s="16"/>
    </row>
    <row r="11" spans="2:23" x14ac:dyDescent="0.25">
      <c r="B11" s="14"/>
      <c r="C11" s="20" t="s">
        <v>164</v>
      </c>
      <c r="D11" s="78">
        <v>716</v>
      </c>
      <c r="E11" s="6"/>
      <c r="F11" s="20" t="s">
        <v>79</v>
      </c>
      <c r="G11" s="78">
        <v>1</v>
      </c>
      <c r="H11" s="15"/>
      <c r="I11" s="16"/>
    </row>
    <row r="12" spans="2:23" x14ac:dyDescent="0.25">
      <c r="B12" s="14"/>
      <c r="C12" s="20" t="s">
        <v>28</v>
      </c>
      <c r="D12" s="78">
        <v>716</v>
      </c>
      <c r="E12" s="6"/>
      <c r="F12" s="38" t="s">
        <v>157</v>
      </c>
      <c r="I12" s="16"/>
    </row>
    <row r="13" spans="2:23" x14ac:dyDescent="0.25">
      <c r="B13" s="14"/>
      <c r="C13" s="20" t="s">
        <v>78</v>
      </c>
      <c r="D13" s="78">
        <v>0</v>
      </c>
      <c r="E13" s="6"/>
      <c r="F13" s="38" t="s">
        <v>80</v>
      </c>
      <c r="I13" s="16"/>
    </row>
    <row r="14" spans="2:23" x14ac:dyDescent="0.25">
      <c r="B14" s="14"/>
      <c r="C14" s="38" t="s">
        <v>152</v>
      </c>
      <c r="E14" s="6"/>
      <c r="F14" s="24" t="s">
        <v>32</v>
      </c>
      <c r="G14" s="23" t="s">
        <v>23</v>
      </c>
      <c r="I14" s="16"/>
    </row>
    <row r="15" spans="2:23" x14ac:dyDescent="0.25">
      <c r="B15" s="14"/>
      <c r="C15" s="23" t="s">
        <v>153</v>
      </c>
      <c r="D15" s="23" t="s">
        <v>23</v>
      </c>
      <c r="E15" s="6"/>
      <c r="F15" s="20" t="s">
        <v>169</v>
      </c>
      <c r="G15" s="78">
        <v>62</v>
      </c>
      <c r="I15" s="16"/>
    </row>
    <row r="16" spans="2:23" x14ac:dyDescent="0.25">
      <c r="B16" s="14"/>
      <c r="C16" s="20" t="s">
        <v>165</v>
      </c>
      <c r="D16" s="78">
        <v>54</v>
      </c>
      <c r="E16" s="6"/>
      <c r="F16" s="20" t="s">
        <v>170</v>
      </c>
      <c r="G16" s="78">
        <v>62</v>
      </c>
      <c r="H16" s="15"/>
      <c r="I16" s="16"/>
    </row>
    <row r="17" spans="2:9" x14ac:dyDescent="0.25">
      <c r="B17" s="14"/>
      <c r="C17" s="20" t="s">
        <v>154</v>
      </c>
      <c r="D17" s="78">
        <v>54</v>
      </c>
      <c r="E17" s="6"/>
      <c r="F17" s="20" t="s">
        <v>171</v>
      </c>
      <c r="G17" s="78">
        <v>0</v>
      </c>
      <c r="H17" s="15"/>
      <c r="I17" s="16"/>
    </row>
    <row r="18" spans="2:9" x14ac:dyDescent="0.25">
      <c r="B18" s="14"/>
      <c r="C18" s="38" t="s">
        <v>155</v>
      </c>
      <c r="E18" s="6"/>
      <c r="F18" s="20" t="s">
        <v>172</v>
      </c>
      <c r="G18" s="78">
        <v>0</v>
      </c>
      <c r="H18" s="15"/>
      <c r="I18" s="16"/>
    </row>
    <row r="19" spans="2:9" x14ac:dyDescent="0.25">
      <c r="B19" s="14"/>
      <c r="E19" s="6"/>
      <c r="H19" s="15"/>
      <c r="I19" s="16"/>
    </row>
    <row r="20" spans="2:9" ht="29.25" customHeight="1" x14ac:dyDescent="0.25">
      <c r="B20" s="14"/>
      <c r="C20" s="50" t="s">
        <v>31</v>
      </c>
      <c r="D20" s="50" t="s">
        <v>23</v>
      </c>
      <c r="E20" s="6"/>
      <c r="F20" s="39" t="s">
        <v>101</v>
      </c>
      <c r="G20" s="50" t="s">
        <v>144</v>
      </c>
      <c r="H20" s="40" t="s">
        <v>64</v>
      </c>
      <c r="I20" s="16"/>
    </row>
    <row r="21" spans="2:9" x14ac:dyDescent="0.25">
      <c r="B21" s="14"/>
      <c r="C21" s="60" t="s">
        <v>166</v>
      </c>
      <c r="D21" s="78">
        <v>54</v>
      </c>
      <c r="E21" s="6"/>
      <c r="F21" s="20" t="s">
        <v>60</v>
      </c>
      <c r="G21" s="78">
        <v>8</v>
      </c>
      <c r="H21" s="78">
        <v>8</v>
      </c>
      <c r="I21" s="16"/>
    </row>
    <row r="22" spans="2:9" ht="15" customHeight="1" x14ac:dyDescent="0.25">
      <c r="B22" s="14"/>
      <c r="C22" s="60" t="s">
        <v>167</v>
      </c>
      <c r="D22" s="78">
        <v>1</v>
      </c>
      <c r="E22" s="6"/>
      <c r="F22" s="20" t="s">
        <v>61</v>
      </c>
      <c r="G22" s="78">
        <v>36</v>
      </c>
      <c r="H22" s="78">
        <v>0</v>
      </c>
      <c r="I22" s="16"/>
    </row>
    <row r="23" spans="2:9" x14ac:dyDescent="0.25">
      <c r="B23" s="14"/>
      <c r="C23" s="66" t="s">
        <v>156</v>
      </c>
      <c r="D23" s="66"/>
      <c r="E23" s="6"/>
      <c r="F23" s="20" t="s">
        <v>62</v>
      </c>
      <c r="G23" s="78">
        <v>7</v>
      </c>
      <c r="H23" s="78">
        <v>0</v>
      </c>
      <c r="I23" s="16"/>
    </row>
    <row r="24" spans="2:9" x14ac:dyDescent="0.25">
      <c r="B24" s="14"/>
      <c r="C24" s="15"/>
      <c r="E24" s="6"/>
      <c r="F24" s="20" t="s">
        <v>63</v>
      </c>
      <c r="G24" s="78">
        <v>10</v>
      </c>
      <c r="H24" s="78">
        <v>0</v>
      </c>
      <c r="I24" s="16"/>
    </row>
    <row r="25" spans="2:9" ht="30" customHeight="1" x14ac:dyDescent="0.25">
      <c r="B25" s="14"/>
      <c r="C25" s="68" t="str">
        <f>"Seleccione "&amp;W3&amp;" procesos teminados en el  primer semestre de 2022 y llene la siguiente tabla:"</f>
        <v>Seleccione 10 procesos teminados en el  primer semestre de 2022 y llene la siguiente tabla:</v>
      </c>
      <c r="D25" s="63"/>
      <c r="E25" s="6"/>
      <c r="F25" s="124" t="s">
        <v>173</v>
      </c>
      <c r="G25" s="124"/>
      <c r="H25" s="124"/>
      <c r="I25" s="16"/>
    </row>
    <row r="26" spans="2:9" ht="15.75" thickBot="1" x14ac:dyDescent="0.3">
      <c r="B26" s="14"/>
      <c r="C26" s="64"/>
      <c r="D26" s="65"/>
      <c r="E26" s="6"/>
      <c r="F26" s="61"/>
      <c r="G26" s="15"/>
      <c r="H26" s="15"/>
      <c r="I26" s="16"/>
    </row>
    <row r="27" spans="2:9" x14ac:dyDescent="0.25">
      <c r="B27" s="14"/>
      <c r="C27" s="50" t="s">
        <v>89</v>
      </c>
      <c r="D27" s="50" t="s">
        <v>23</v>
      </c>
      <c r="E27" s="6"/>
      <c r="F27" s="119" t="s">
        <v>88</v>
      </c>
      <c r="G27" s="120"/>
      <c r="H27" s="121"/>
      <c r="I27" s="16"/>
    </row>
    <row r="28" spans="2:9" x14ac:dyDescent="0.25">
      <c r="B28" s="14"/>
      <c r="C28" s="20" t="s">
        <v>81</v>
      </c>
      <c r="D28" s="78">
        <v>10</v>
      </c>
      <c r="E28" s="6"/>
      <c r="F28" s="122" t="s">
        <v>195</v>
      </c>
      <c r="G28" s="122"/>
      <c r="H28" s="122"/>
      <c r="I28" s="16"/>
    </row>
    <row r="29" spans="2:9" x14ac:dyDescent="0.25">
      <c r="B29" s="14"/>
      <c r="C29" s="20" t="s">
        <v>82</v>
      </c>
      <c r="D29" s="78">
        <v>10</v>
      </c>
      <c r="E29" s="6"/>
      <c r="F29" s="122"/>
      <c r="G29" s="122"/>
      <c r="H29" s="122"/>
      <c r="I29" s="16"/>
    </row>
    <row r="30" spans="2:9" x14ac:dyDescent="0.25">
      <c r="B30" s="14"/>
      <c r="C30" s="20" t="s">
        <v>83</v>
      </c>
      <c r="D30" s="78">
        <v>0</v>
      </c>
      <c r="E30" s="6"/>
      <c r="F30" s="122"/>
      <c r="G30" s="122"/>
      <c r="H30" s="122"/>
      <c r="I30" s="16"/>
    </row>
    <row r="31" spans="2:9" x14ac:dyDescent="0.25">
      <c r="B31" s="14"/>
      <c r="C31" s="20" t="s">
        <v>84</v>
      </c>
      <c r="D31" s="78">
        <v>0</v>
      </c>
      <c r="E31" s="6"/>
      <c r="F31" s="122"/>
      <c r="G31" s="122"/>
      <c r="H31" s="122"/>
      <c r="I31" s="16"/>
    </row>
    <row r="32" spans="2:9" x14ac:dyDescent="0.25">
      <c r="B32" s="14"/>
      <c r="C32" s="20" t="s">
        <v>85</v>
      </c>
      <c r="D32" s="78">
        <v>0</v>
      </c>
      <c r="E32" s="6"/>
      <c r="F32" s="122"/>
      <c r="G32" s="122"/>
      <c r="H32" s="122"/>
      <c r="I32" s="16"/>
    </row>
    <row r="33" spans="2:9" x14ac:dyDescent="0.25">
      <c r="B33" s="14"/>
      <c r="C33" s="15"/>
      <c r="E33" s="6"/>
      <c r="F33" s="122"/>
      <c r="G33" s="122"/>
      <c r="H33" s="122"/>
      <c r="I33" s="16"/>
    </row>
    <row r="34" spans="2:9" ht="15.75" thickBot="1" x14ac:dyDescent="0.3">
      <c r="B34" s="17"/>
      <c r="C34" s="18"/>
      <c r="D34" s="18"/>
      <c r="E34" s="18"/>
      <c r="F34" s="18"/>
      <c r="G34" s="18"/>
      <c r="H34" s="18"/>
      <c r="I34" s="19"/>
    </row>
  </sheetData>
  <sheetProtection algorithmName="SHA-512" hashValue="B9V84//xA42RdCAYWxnnmge3JebK6lrTBnVqgqUZdoaV3dQ6rZl/I6IC2ReFAYckWa0swdX3mj/vDzzbeCdsaQ==" saltValue="dyWH2baFBv95gWeLj1vbeg==" spinCount="100000" sheet="1" objects="1" scenarios="1"/>
  <mergeCells count="4">
    <mergeCell ref="F27:H27"/>
    <mergeCell ref="F28:H33"/>
    <mergeCell ref="C6:H6"/>
    <mergeCell ref="F25:H25"/>
  </mergeCells>
  <conditionalFormatting sqref="D8">
    <cfRule type="containsBlanks" dxfId="23" priority="11">
      <formula>LEN(TRIM(D8))=0</formula>
    </cfRule>
  </conditionalFormatting>
  <conditionalFormatting sqref="D11">
    <cfRule type="containsBlanks" dxfId="22" priority="10">
      <formula>LEN(TRIM(D11))=0</formula>
    </cfRule>
  </conditionalFormatting>
  <conditionalFormatting sqref="D12:D13">
    <cfRule type="containsBlanks" dxfId="21" priority="9">
      <formula>LEN(TRIM(D12))=0</formula>
    </cfRule>
  </conditionalFormatting>
  <conditionalFormatting sqref="D16:D17">
    <cfRule type="containsBlanks" dxfId="20" priority="8">
      <formula>LEN(TRIM(D16))=0</formula>
    </cfRule>
  </conditionalFormatting>
  <conditionalFormatting sqref="D21:D22">
    <cfRule type="containsBlanks" dxfId="19" priority="7">
      <formula>LEN(TRIM(D21))=0</formula>
    </cfRule>
  </conditionalFormatting>
  <conditionalFormatting sqref="D28:D32">
    <cfRule type="containsBlanks" dxfId="18" priority="6">
      <formula>LEN(TRIM(D28))=0</formula>
    </cfRule>
  </conditionalFormatting>
  <conditionalFormatting sqref="G9">
    <cfRule type="containsBlanks" dxfId="17" priority="5">
      <formula>LEN(TRIM(G9))=0</formula>
    </cfRule>
  </conditionalFormatting>
  <conditionalFormatting sqref="G10:G11">
    <cfRule type="containsBlanks" dxfId="16" priority="4">
      <formula>LEN(TRIM(G10))=0</formula>
    </cfRule>
  </conditionalFormatting>
  <conditionalFormatting sqref="G15:G18">
    <cfRule type="containsBlanks" dxfId="15" priority="3">
      <formula>LEN(TRIM(G15))=0</formula>
    </cfRule>
  </conditionalFormatting>
  <conditionalFormatting sqref="G21:H24">
    <cfRule type="containsBlanks" dxfId="14" priority="2">
      <formula>LEN(TRIM(G21))=0</formula>
    </cfRule>
  </conditionalFormatting>
  <conditionalFormatting sqref="F28">
    <cfRule type="containsBlanks" dxfId="13" priority="1">
      <formula>LEN(TRIM(F28))=0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44742</formula1>
      <formula2>44823</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workbookViewId="0">
      <selection activeCell="F17" sqref="F17:G22"/>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c r="V2" s="1">
        <f>+D13+D14</f>
        <v>0</v>
      </c>
    </row>
    <row r="3" spans="2:22" x14ac:dyDescent="0.25">
      <c r="B3" s="14"/>
      <c r="C3" s="15"/>
      <c r="D3" s="15"/>
      <c r="E3" s="15"/>
      <c r="F3" s="15"/>
      <c r="G3" s="15"/>
      <c r="H3" s="16"/>
      <c r="V3" s="28">
        <f>+IF(V2&lt;=20,V2,IF(ROUNDDOWN(V2*10%,0)&lt;20,20,ROUNDDOWN(V2*10%,0)))</f>
        <v>0</v>
      </c>
    </row>
    <row r="4" spans="2:22" x14ac:dyDescent="0.25">
      <c r="B4" s="14"/>
      <c r="C4" s="15"/>
      <c r="D4" s="15"/>
      <c r="E4" s="15"/>
      <c r="F4" s="15"/>
      <c r="G4" s="15"/>
      <c r="H4" s="16"/>
    </row>
    <row r="5" spans="2:22" x14ac:dyDescent="0.25">
      <c r="B5" s="14"/>
      <c r="C5" s="15"/>
      <c r="D5" s="15"/>
      <c r="E5" s="15"/>
      <c r="F5" s="15"/>
      <c r="G5" s="15"/>
      <c r="H5" s="16"/>
    </row>
    <row r="6" spans="2:22" ht="15" customHeight="1" x14ac:dyDescent="0.25">
      <c r="B6" s="14"/>
      <c r="C6" s="27"/>
      <c r="D6" s="27"/>
      <c r="E6" s="27"/>
      <c r="G6" s="32"/>
      <c r="H6" s="33"/>
    </row>
    <row r="7" spans="2:22" ht="23.25" x14ac:dyDescent="0.25">
      <c r="B7" s="14"/>
      <c r="C7" s="123" t="s">
        <v>146</v>
      </c>
      <c r="D7" s="123"/>
      <c r="E7" s="123"/>
      <c r="F7" s="123"/>
      <c r="G7" s="123"/>
      <c r="H7" s="33"/>
    </row>
    <row r="8" spans="2:22" x14ac:dyDescent="0.25">
      <c r="B8" s="14"/>
      <c r="C8" s="15"/>
      <c r="D8" s="15"/>
      <c r="E8" s="89" t="s">
        <v>143</v>
      </c>
      <c r="H8" s="16"/>
      <c r="T8" s="1" t="s">
        <v>13</v>
      </c>
    </row>
    <row r="9" spans="2:22" ht="15" customHeight="1" x14ac:dyDescent="0.25">
      <c r="B9" s="14"/>
      <c r="C9" s="23" t="s">
        <v>158</v>
      </c>
      <c r="D9" s="23" t="s">
        <v>23</v>
      </c>
      <c r="E9" s="6"/>
      <c r="F9" s="106" t="str">
        <f>"Seleccione una muestra de "&amp;V3&amp;" prejudiciales activos registrados antes de 1 de enero de 2022 y complete la siguiente tabla"</f>
        <v>Seleccione una muestra de 0 prejudiciales activos registrados antes de 1 de enero de 2022 y complete la siguiente tabla</v>
      </c>
      <c r="G9" s="107"/>
      <c r="H9" s="16"/>
      <c r="T9" s="1" t="s">
        <v>14</v>
      </c>
    </row>
    <row r="10" spans="2:22" x14ac:dyDescent="0.25">
      <c r="B10" s="14"/>
      <c r="C10" s="20" t="s">
        <v>174</v>
      </c>
      <c r="D10" s="78">
        <v>8</v>
      </c>
      <c r="E10" s="6"/>
      <c r="F10" s="108"/>
      <c r="G10" s="109"/>
      <c r="H10" s="16"/>
    </row>
    <row r="11" spans="2:22" x14ac:dyDescent="0.25">
      <c r="B11" s="14"/>
      <c r="C11" s="20" t="s">
        <v>52</v>
      </c>
      <c r="D11" s="78">
        <v>8</v>
      </c>
      <c r="E11" s="6"/>
      <c r="F11" s="24" t="s">
        <v>31</v>
      </c>
      <c r="G11" s="24" t="s">
        <v>54</v>
      </c>
      <c r="H11" s="16"/>
    </row>
    <row r="12" spans="2:22" x14ac:dyDescent="0.25">
      <c r="B12" s="14"/>
      <c r="C12" s="20" t="s">
        <v>159</v>
      </c>
      <c r="D12" s="78">
        <v>8</v>
      </c>
      <c r="E12" s="6"/>
      <c r="F12" s="36" t="s">
        <v>55</v>
      </c>
      <c r="G12" s="78">
        <v>0</v>
      </c>
      <c r="H12" s="16"/>
    </row>
    <row r="13" spans="2:22" x14ac:dyDescent="0.25">
      <c r="B13" s="14"/>
      <c r="C13" s="20" t="s">
        <v>161</v>
      </c>
      <c r="D13" s="78">
        <v>0</v>
      </c>
      <c r="E13" s="6"/>
      <c r="F13" s="20" t="s">
        <v>148</v>
      </c>
      <c r="G13" s="78">
        <v>0</v>
      </c>
      <c r="H13" s="16"/>
    </row>
    <row r="14" spans="2:22" x14ac:dyDescent="0.25">
      <c r="B14" s="14"/>
      <c r="C14" s="20" t="s">
        <v>160</v>
      </c>
      <c r="D14" s="78">
        <v>0</v>
      </c>
      <c r="E14" s="6"/>
      <c r="F14"/>
      <c r="G14"/>
      <c r="H14" s="16"/>
    </row>
    <row r="15" spans="2:22" x14ac:dyDescent="0.25">
      <c r="B15" s="14"/>
      <c r="E15" s="6"/>
      <c r="F15"/>
      <c r="G15"/>
      <c r="H15" s="16"/>
    </row>
    <row r="16" spans="2:22" x14ac:dyDescent="0.25">
      <c r="B16" s="14"/>
      <c r="C16" s="23" t="s">
        <v>147</v>
      </c>
      <c r="D16" s="23" t="s">
        <v>23</v>
      </c>
      <c r="E16" s="6"/>
      <c r="F16" s="125" t="s">
        <v>88</v>
      </c>
      <c r="G16" s="125"/>
      <c r="H16" s="16"/>
    </row>
    <row r="17" spans="2:8" x14ac:dyDescent="0.25">
      <c r="B17" s="14"/>
      <c r="C17" s="20" t="s">
        <v>179</v>
      </c>
      <c r="D17" s="78">
        <v>8</v>
      </c>
      <c r="E17" s="6"/>
      <c r="F17" s="122" t="s">
        <v>194</v>
      </c>
      <c r="G17" s="122"/>
      <c r="H17" s="16"/>
    </row>
    <row r="18" spans="2:8" x14ac:dyDescent="0.25">
      <c r="B18" s="14"/>
      <c r="C18" s="20" t="s">
        <v>187</v>
      </c>
      <c r="D18" s="78">
        <v>8</v>
      </c>
      <c r="E18" s="6"/>
      <c r="F18" s="122"/>
      <c r="G18" s="122"/>
      <c r="H18" s="16"/>
    </row>
    <row r="19" spans="2:8" x14ac:dyDescent="0.25">
      <c r="B19" s="14"/>
      <c r="C19"/>
      <c r="D19"/>
      <c r="E19" s="6"/>
      <c r="F19" s="122"/>
      <c r="G19" s="122"/>
      <c r="H19" s="16"/>
    </row>
    <row r="20" spans="2:8" x14ac:dyDescent="0.25">
      <c r="B20" s="14"/>
      <c r="C20"/>
      <c r="D20"/>
      <c r="E20" s="6"/>
      <c r="F20" s="122"/>
      <c r="G20" s="122"/>
      <c r="H20" s="16"/>
    </row>
    <row r="21" spans="2:8" x14ac:dyDescent="0.25">
      <c r="B21" s="14"/>
      <c r="E21" s="6"/>
      <c r="F21" s="122"/>
      <c r="G21" s="122"/>
      <c r="H21" s="16"/>
    </row>
    <row r="22" spans="2:8" x14ac:dyDescent="0.25">
      <c r="B22" s="14"/>
      <c r="C22" s="15"/>
      <c r="D22" s="15"/>
      <c r="E22" s="6"/>
      <c r="F22" s="122"/>
      <c r="G22" s="122"/>
      <c r="H22" s="16"/>
    </row>
    <row r="23" spans="2:8" ht="15.75" thickBot="1" x14ac:dyDescent="0.3">
      <c r="B23" s="17"/>
      <c r="C23" s="18"/>
      <c r="D23" s="18"/>
      <c r="E23" s="18"/>
      <c r="F23" s="18"/>
      <c r="G23" s="18"/>
      <c r="H23" s="19"/>
    </row>
  </sheetData>
  <sheetProtection algorithmName="SHA-512" hashValue="Wf5KuS89gzAkE/zlROayh3GmR2VHv5jD9K3uyAQup5YkvfIVH9881Kz9QUlC5khUuPa2X9qKcAYrADqr5rDyTQ==" saltValue="pjCYByopMlSVTaLu5XMRtw==" spinCount="100000" sheet="1" objects="1" scenarios="1"/>
  <mergeCells count="4">
    <mergeCell ref="F9:G10"/>
    <mergeCell ref="C7:G7"/>
    <mergeCell ref="F16:G16"/>
    <mergeCell ref="F17:G22"/>
  </mergeCells>
  <conditionalFormatting sqref="D10:D14">
    <cfRule type="containsBlanks" dxfId="12" priority="4">
      <formula>LEN(TRIM(D10))=0</formula>
    </cfRule>
  </conditionalFormatting>
  <conditionalFormatting sqref="D17:D18">
    <cfRule type="containsBlanks" dxfId="11" priority="3">
      <formula>LEN(TRIM(D17))=0</formula>
    </cfRule>
  </conditionalFormatting>
  <conditionalFormatting sqref="G12:G13">
    <cfRule type="containsBlanks" dxfId="10" priority="2">
      <formula>LEN(TRIM(G12))=0</formula>
    </cfRule>
  </conditionalFormatting>
  <conditionalFormatting sqref="F17">
    <cfRule type="containsBlanks" dxfId="9" priority="1">
      <formula>LEN(TRIM(F17))=0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topLeftCell="D1" workbookViewId="0">
      <selection activeCell="G10" sqref="G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f>+IF(D10&lt;=10,D10,IF(ROUNDDOWN(D10*10%,0)&gt;10,10,ROUNDDOWN(D10*10%,0)))</f>
        <v>0</v>
      </c>
    </row>
    <row r="4" spans="2:22" x14ac:dyDescent="0.25">
      <c r="B4" s="14"/>
      <c r="C4" s="15"/>
      <c r="D4" s="15"/>
      <c r="E4" s="15"/>
      <c r="F4" s="15"/>
      <c r="G4" s="15"/>
      <c r="H4" s="16"/>
    </row>
    <row r="5" spans="2:22" x14ac:dyDescent="0.25">
      <c r="B5" s="14"/>
      <c r="C5" s="15"/>
      <c r="D5" s="15"/>
      <c r="E5" s="15"/>
      <c r="F5" s="15"/>
      <c r="G5" s="15"/>
      <c r="H5" s="16"/>
    </row>
    <row r="6" spans="2:22" ht="36.75" customHeight="1" x14ac:dyDescent="0.35">
      <c r="B6" s="14"/>
      <c r="C6" s="34" t="s">
        <v>67</v>
      </c>
      <c r="D6" s="35"/>
      <c r="E6" s="26"/>
      <c r="F6"/>
      <c r="G6"/>
      <c r="H6" s="33"/>
    </row>
    <row r="7" spans="2:22" x14ac:dyDescent="0.25">
      <c r="B7" s="14"/>
      <c r="C7" s="15" t="s">
        <v>143</v>
      </c>
      <c r="D7" s="15"/>
      <c r="E7" s="15"/>
      <c r="F7"/>
      <c r="G7"/>
      <c r="H7" s="16"/>
      <c r="T7" s="1" t="s">
        <v>13</v>
      </c>
    </row>
    <row r="8" spans="2:22" x14ac:dyDescent="0.25">
      <c r="B8" s="14"/>
      <c r="C8" s="23" t="s">
        <v>67</v>
      </c>
      <c r="D8" s="23" t="s">
        <v>23</v>
      </c>
      <c r="E8" s="6"/>
      <c r="F8" s="23" t="s">
        <v>67</v>
      </c>
      <c r="G8" s="23" t="s">
        <v>23</v>
      </c>
      <c r="H8" s="16"/>
      <c r="T8" s="1" t="s">
        <v>14</v>
      </c>
    </row>
    <row r="9" spans="2:22" x14ac:dyDescent="0.25">
      <c r="B9" s="14"/>
      <c r="C9" s="20" t="s">
        <v>175</v>
      </c>
      <c r="D9" s="78">
        <v>0</v>
      </c>
      <c r="E9" s="6"/>
      <c r="F9" s="20" t="s">
        <v>176</v>
      </c>
      <c r="G9" s="78">
        <v>0</v>
      </c>
      <c r="H9" s="16"/>
    </row>
    <row r="10" spans="2:22" x14ac:dyDescent="0.25">
      <c r="B10" s="14"/>
      <c r="C10" s="20" t="s">
        <v>180</v>
      </c>
      <c r="D10" s="78">
        <v>0</v>
      </c>
      <c r="E10" s="6"/>
      <c r="F10" s="20" t="s">
        <v>86</v>
      </c>
      <c r="G10" s="78">
        <v>0</v>
      </c>
      <c r="H10" s="16"/>
    </row>
    <row r="11" spans="2:22" x14ac:dyDescent="0.25">
      <c r="B11" s="14"/>
      <c r="C11" s="15"/>
      <c r="D11" s="55"/>
      <c r="E11" s="6"/>
      <c r="F11" s="15"/>
      <c r="G11" s="56"/>
      <c r="H11" s="16"/>
    </row>
    <row r="12" spans="2:22" x14ac:dyDescent="0.25">
      <c r="B12" s="14"/>
      <c r="C12" s="57" t="s">
        <v>90</v>
      </c>
      <c r="D12" s="55"/>
      <c r="E12" s="6"/>
      <c r="F12" s="15"/>
      <c r="G12" s="56"/>
      <c r="H12" s="16"/>
      <c r="T12" s="1">
        <f>IF(D9="",0,1)</f>
        <v>1</v>
      </c>
    </row>
    <row r="13" spans="2:22" x14ac:dyDescent="0.25">
      <c r="B13" s="14"/>
      <c r="C13" s="110"/>
      <c r="D13" s="111"/>
      <c r="E13" s="111"/>
      <c r="F13" s="111"/>
      <c r="G13" s="112"/>
      <c r="H13" s="16"/>
    </row>
    <row r="14" spans="2:22" x14ac:dyDescent="0.25">
      <c r="B14" s="14"/>
      <c r="C14" s="113"/>
      <c r="D14" s="114"/>
      <c r="E14" s="114"/>
      <c r="F14" s="114"/>
      <c r="G14" s="115"/>
      <c r="H14" s="16"/>
    </row>
    <row r="15" spans="2:22" x14ac:dyDescent="0.25">
      <c r="B15" s="14"/>
      <c r="C15" s="113"/>
      <c r="D15" s="114"/>
      <c r="E15" s="114"/>
      <c r="F15" s="114"/>
      <c r="G15" s="115"/>
      <c r="H15" s="16"/>
    </row>
    <row r="16" spans="2:22" x14ac:dyDescent="0.25">
      <c r="B16" s="14"/>
      <c r="C16" s="116"/>
      <c r="D16" s="117"/>
      <c r="E16" s="117"/>
      <c r="F16" s="117"/>
      <c r="G16" s="118"/>
      <c r="H16" s="16"/>
      <c r="T16" s="1">
        <f>IF(G9="",0,1)</f>
        <v>1</v>
      </c>
    </row>
    <row r="17" spans="2:20" ht="15.75" thickBot="1" x14ac:dyDescent="0.3">
      <c r="B17" s="17"/>
      <c r="C17" s="18"/>
      <c r="D17" s="18"/>
      <c r="E17" s="18"/>
      <c r="F17" s="18"/>
      <c r="G17" s="18"/>
      <c r="H17" s="19"/>
      <c r="T17" s="1">
        <f>+T12+T16</f>
        <v>2</v>
      </c>
    </row>
  </sheetData>
  <sheetProtection algorithmName="SHA-512" hashValue="+FCFzMTUyQz9xCbsVZjWh6VfuEuNyvSas18p2Zc+tciO//oKW2KvySRCIuGHsJUxL58937RSbcNcAVq208JAUg==" saltValue="SyOhJUcB2fukD14ffgbYiQ==" spinCount="100000" sheet="1"/>
  <mergeCells count="1">
    <mergeCell ref="C13:G16"/>
  </mergeCells>
  <conditionalFormatting sqref="C13">
    <cfRule type="containsBlanks" dxfId="8" priority="3">
      <formula>LEN(TRIM(C13))=0</formula>
    </cfRule>
  </conditionalFormatting>
  <conditionalFormatting sqref="D9:D10">
    <cfRule type="containsBlanks" dxfId="7" priority="2">
      <formula>LEN(TRIM(D9))=0</formula>
    </cfRule>
  </conditionalFormatting>
  <conditionalFormatting sqref="G9:G10">
    <cfRule type="containsBlanks" dxfId="6"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A8" sqref="A8"/>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29"/>
      <c r="C2" s="30"/>
      <c r="D2" s="30"/>
      <c r="E2" s="30"/>
      <c r="F2" s="30"/>
      <c r="G2" s="30"/>
      <c r="H2" s="31"/>
    </row>
    <row r="3" spans="2:22" x14ac:dyDescent="0.25">
      <c r="B3" s="14"/>
      <c r="C3" s="15"/>
      <c r="D3" s="15"/>
      <c r="E3" s="15"/>
      <c r="F3" s="15"/>
      <c r="G3" s="15"/>
      <c r="H3" s="16"/>
      <c r="V3" s="28" t="e">
        <f>+IF(D10&lt;=10,D10,IF(ROUNDDOWN(D10*10%,0)&gt;10,10,ROUNDDOWN(D10*10%,0)))</f>
        <v>#VALUE!</v>
      </c>
    </row>
    <row r="4" spans="2:22" x14ac:dyDescent="0.25">
      <c r="B4" s="14"/>
      <c r="C4" s="15"/>
      <c r="D4" s="15"/>
      <c r="E4" s="15"/>
      <c r="F4" s="15"/>
      <c r="G4" s="15"/>
      <c r="H4" s="16"/>
    </row>
    <row r="5" spans="2:22" x14ac:dyDescent="0.25">
      <c r="B5" s="14"/>
      <c r="C5" s="15"/>
      <c r="D5" s="15"/>
      <c r="E5" s="15"/>
      <c r="F5" s="15"/>
      <c r="G5" s="15"/>
      <c r="H5" s="16"/>
    </row>
    <row r="6" spans="2:22" ht="21.75" customHeight="1" x14ac:dyDescent="0.35">
      <c r="B6" s="14"/>
      <c r="C6" s="123" t="s">
        <v>8</v>
      </c>
      <c r="D6" s="123"/>
      <c r="E6" s="26"/>
      <c r="F6"/>
      <c r="G6"/>
      <c r="H6" s="33"/>
      <c r="T6" s="1" t="s">
        <v>12</v>
      </c>
    </row>
    <row r="7" spans="2:22" x14ac:dyDescent="0.25">
      <c r="B7" s="14"/>
      <c r="C7" s="15" t="s">
        <v>143</v>
      </c>
      <c r="D7" s="15"/>
      <c r="E7" s="15"/>
      <c r="F7" s="58" t="s">
        <v>90</v>
      </c>
      <c r="G7"/>
      <c r="H7" s="16"/>
      <c r="T7" s="1" t="s">
        <v>13</v>
      </c>
    </row>
    <row r="8" spans="2:22" x14ac:dyDescent="0.25">
      <c r="B8" s="14"/>
      <c r="C8" s="23" t="s">
        <v>30</v>
      </c>
      <c r="D8" s="23" t="s">
        <v>23</v>
      </c>
      <c r="E8" s="6"/>
      <c r="F8" s="110"/>
      <c r="G8" s="112"/>
      <c r="H8" s="16"/>
      <c r="T8" s="1" t="s">
        <v>14</v>
      </c>
    </row>
    <row r="9" spans="2:22" x14ac:dyDescent="0.25">
      <c r="B9" s="14"/>
      <c r="C9" s="20" t="s">
        <v>71</v>
      </c>
      <c r="D9" s="78" t="s">
        <v>13</v>
      </c>
      <c r="E9" s="6"/>
      <c r="F9" s="113"/>
      <c r="G9" s="115"/>
      <c r="H9" s="16"/>
    </row>
    <row r="10" spans="2:22" x14ac:dyDescent="0.25">
      <c r="B10" s="14"/>
      <c r="C10" s="20" t="s">
        <v>188</v>
      </c>
      <c r="D10" s="78" t="s">
        <v>13</v>
      </c>
      <c r="E10" s="6"/>
      <c r="F10" s="116"/>
      <c r="G10" s="118"/>
      <c r="H10" s="16"/>
    </row>
    <row r="11" spans="2:22" ht="15.75" thickBot="1" x14ac:dyDescent="0.3">
      <c r="B11" s="17"/>
      <c r="C11" s="18"/>
      <c r="D11" s="18"/>
      <c r="E11" s="18"/>
      <c r="F11" s="18"/>
      <c r="G11" s="18"/>
      <c r="H11" s="19"/>
    </row>
  </sheetData>
  <sheetProtection algorithmName="SHA-512" hashValue="5qujBfQQ7RZMhSfW3LqfxXxVuPd8KbOJQKh15P8GKG8cOXsJPu3apxq/6MgUYGlAEizpvLIU3x8ux0MZK7Zg3A==" saltValue="jV6bSp1iEYBcnSzTRXO6Og==" spinCount="100000" sheet="1" objects="1" scenarios="1"/>
  <mergeCells count="2">
    <mergeCell ref="C6:D6"/>
    <mergeCell ref="F8:G10"/>
  </mergeCells>
  <conditionalFormatting sqref="D9">
    <cfRule type="containsBlanks" dxfId="5" priority="3">
      <formula>LEN(TRIM(D9))=0</formula>
    </cfRule>
  </conditionalFormatting>
  <conditionalFormatting sqref="F8">
    <cfRule type="containsBlanks" dxfId="4" priority="2">
      <formula>LEN(TRIM(F8))=0</formula>
    </cfRule>
  </conditionalFormatting>
  <conditionalFormatting sqref="D10">
    <cfRule type="containsBlanks" dxfId="3" priority="1">
      <formula>LEN(TRIM(D10))=0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tabSelected="1" zoomScale="85" zoomScaleNormal="85" workbookViewId="0">
      <selection activeCell="B28" sqref="B28"/>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32" t="s">
        <v>10</v>
      </c>
      <c r="C2" s="132"/>
      <c r="D2" s="132"/>
      <c r="E2" s="132"/>
      <c r="F2" s="132"/>
      <c r="G2" s="132"/>
      <c r="H2" s="46"/>
      <c r="I2" s="46"/>
      <c r="J2" s="46"/>
      <c r="K2" s="46"/>
      <c r="L2" s="46"/>
      <c r="M2" s="47"/>
    </row>
    <row r="3" spans="2:13" ht="18.75" x14ac:dyDescent="0.3">
      <c r="B3" s="132" t="s">
        <v>11</v>
      </c>
      <c r="C3" s="132"/>
      <c r="D3" s="132"/>
      <c r="E3" s="132"/>
      <c r="F3" s="132"/>
      <c r="G3" s="132"/>
      <c r="H3" s="46"/>
      <c r="I3" s="46"/>
      <c r="J3" s="46"/>
      <c r="K3" s="46"/>
      <c r="L3" s="46"/>
      <c r="M3" s="47"/>
    </row>
    <row r="4" spans="2:13" ht="24" thickBot="1" x14ac:dyDescent="0.4">
      <c r="B4" s="41"/>
      <c r="C4" s="90"/>
      <c r="D4" s="90" t="s">
        <v>178</v>
      </c>
      <c r="E4" s="41"/>
      <c r="F4" s="41"/>
      <c r="G4" s="41"/>
      <c r="H4" s="41"/>
      <c r="I4" s="41"/>
      <c r="J4" s="41"/>
      <c r="K4" s="41"/>
      <c r="L4" s="41"/>
      <c r="M4" s="41"/>
    </row>
    <row r="5" spans="2:13" ht="15.75" thickBot="1" x14ac:dyDescent="0.3">
      <c r="B5" t="s">
        <v>183</v>
      </c>
      <c r="C5" s="126"/>
      <c r="D5" s="127"/>
      <c r="E5" s="127"/>
      <c r="F5" s="127"/>
      <c r="G5" s="128"/>
      <c r="H5" s="6"/>
      <c r="I5" s="6"/>
      <c r="J5" s="6"/>
    </row>
    <row r="6" spans="2:13" ht="15.75" thickBot="1" x14ac:dyDescent="0.3">
      <c r="B6" t="s">
        <v>184</v>
      </c>
      <c r="C6" s="129"/>
      <c r="D6" s="130"/>
      <c r="E6" s="130"/>
      <c r="F6" s="130"/>
      <c r="G6" s="131"/>
      <c r="H6" s="45"/>
      <c r="I6" s="45"/>
      <c r="J6" s="45"/>
    </row>
    <row r="7" spans="2:13" x14ac:dyDescent="0.25">
      <c r="H7" s="6"/>
      <c r="I7" s="6"/>
      <c r="J7" s="6"/>
    </row>
    <row r="8" spans="2:13" x14ac:dyDescent="0.25">
      <c r="B8" t="s">
        <v>37</v>
      </c>
      <c r="C8" s="44" t="str">
        <f>+IF(SUM(USUARIOS!I12:J17)=0,"Falta diligenciar","")</f>
        <v/>
      </c>
      <c r="E8" t="s">
        <v>74</v>
      </c>
      <c r="F8" s="44" t="str">
        <f>+IF(PREJUDICIALES!$D$10="","Falta  actualizar","")</f>
        <v/>
      </c>
    </row>
    <row r="9" spans="2:13" x14ac:dyDescent="0.25">
      <c r="B9" s="43" t="s">
        <v>40</v>
      </c>
      <c r="C9" s="88">
        <f>+SUM(USUARIOS!I12:I17)/(6-SUM(USUARIOS!H12:H17))</f>
        <v>0.83333333333333337</v>
      </c>
      <c r="E9" s="43" t="s">
        <v>45</v>
      </c>
      <c r="F9" s="87">
        <f>+PREJUDICIALES!$D$11</f>
        <v>8</v>
      </c>
    </row>
    <row r="10" spans="2:13" x14ac:dyDescent="0.25">
      <c r="B10" s="43" t="s">
        <v>38</v>
      </c>
      <c r="C10" s="87">
        <f>+ABOGADOS!$D$12+SUM(USUARIOS!I12:I17)</f>
        <v>19</v>
      </c>
      <c r="E10" s="43" t="s">
        <v>43</v>
      </c>
      <c r="F10" s="88">
        <f>IFERROR(PREJUDICIALES!$D$11/PREJUDICIALES!$D$10,"")</f>
        <v>1</v>
      </c>
    </row>
    <row r="11" spans="2:13" x14ac:dyDescent="0.25">
      <c r="B11" s="43" t="s">
        <v>9</v>
      </c>
      <c r="C11" s="87" t="s">
        <v>104</v>
      </c>
      <c r="E11" s="43" t="s">
        <v>46</v>
      </c>
      <c r="F11" s="88" t="str">
        <f>IFERROR(PREJUDICIALES!$G$13/PREJUDICIALES!$V$3,"")</f>
        <v/>
      </c>
    </row>
    <row r="12" spans="2:13" x14ac:dyDescent="0.25">
      <c r="B12" s="43" t="s">
        <v>39</v>
      </c>
      <c r="C12" s="88">
        <f>IFERROR((ABOGADOS!$G$17+ABOGADOS!$G$18+ABOGADOS!$G$19*0.5)/ABOGADOS!D12,"")</f>
        <v>1</v>
      </c>
    </row>
    <row r="13" spans="2:13" x14ac:dyDescent="0.25">
      <c r="E13" t="s">
        <v>67</v>
      </c>
      <c r="F13" s="44" t="str">
        <f>+IF(ARBITRAMENTOS!T17=0,"Falta  actualizar","")</f>
        <v/>
      </c>
    </row>
    <row r="14" spans="2:13" x14ac:dyDescent="0.25">
      <c r="B14" t="s">
        <v>73</v>
      </c>
      <c r="C14" s="44" t="str">
        <f>+IF(JUDICIALES!$D$11="","Falta  actualizar","")</f>
        <v/>
      </c>
      <c r="E14" s="43" t="s">
        <v>44</v>
      </c>
      <c r="F14" s="87">
        <f>+ARBITRAMENTOS!D10</f>
        <v>0</v>
      </c>
    </row>
    <row r="15" spans="2:13" x14ac:dyDescent="0.25">
      <c r="B15" s="43" t="s">
        <v>41</v>
      </c>
      <c r="C15" s="87">
        <f>+JUDICIALES!$D$12</f>
        <v>716</v>
      </c>
      <c r="E15" s="43" t="s">
        <v>43</v>
      </c>
      <c r="F15" s="88" t="str">
        <f>IFERROR(ARBITRAMENTOS!D10/ARBITRAMENTOS!D9,"")</f>
        <v/>
      </c>
    </row>
    <row r="16" spans="2:13" x14ac:dyDescent="0.25">
      <c r="B16" s="43" t="s">
        <v>43</v>
      </c>
      <c r="C16" s="88">
        <f>IFERROR(JUDICIALES!$D$12/JUDICIALES!$D$11,"")</f>
        <v>1</v>
      </c>
    </row>
    <row r="17" spans="2:6" x14ac:dyDescent="0.25">
      <c r="B17" s="43" t="s">
        <v>47</v>
      </c>
      <c r="C17" s="88">
        <f>IFERROR(JUDICIALES!$G$11/JUDICIALES!$G$10,"")</f>
        <v>1</v>
      </c>
      <c r="E17" t="s">
        <v>70</v>
      </c>
      <c r="F17" s="44" t="str">
        <f>+IF(PAGOS!D9="","Falta  actualizar","")</f>
        <v/>
      </c>
    </row>
    <row r="18" spans="2:6" x14ac:dyDescent="0.25">
      <c r="B18" s="43" t="s">
        <v>42</v>
      </c>
      <c r="C18" s="87">
        <f>IFERROR(C15/ABOGADOS!$D$12,"")</f>
        <v>51.142857142857146</v>
      </c>
      <c r="E18" s="43" t="s">
        <v>186</v>
      </c>
      <c r="F18" s="87" t="str">
        <f>+IF(PAGOS!D10="No","No","Si")</f>
        <v>No</v>
      </c>
    </row>
    <row r="19" spans="2:6" x14ac:dyDescent="0.25">
      <c r="B19" s="43" t="s">
        <v>72</v>
      </c>
      <c r="C19" s="88">
        <f>IFERROR(1-(JUDICIALES!$H$22+JUDICIALES!$H$23+JUDICIALES!$H$24)/(JUDICIALES!$G$22+JUDICIALES!$G$23+JUDICIALES!$G$24),"")</f>
        <v>1</v>
      </c>
      <c r="E19" s="43" t="s">
        <v>182</v>
      </c>
      <c r="F19" s="87" t="str">
        <f>+IF(PAGOS!D9="No","No aplica","Si")</f>
        <v>No aplica</v>
      </c>
    </row>
    <row r="21" spans="2:6" ht="15.75" thickBot="1" x14ac:dyDescent="0.3"/>
    <row r="22" spans="2:6" x14ac:dyDescent="0.25">
      <c r="B22" s="2" t="s">
        <v>90</v>
      </c>
      <c r="C22" s="3"/>
      <c r="D22" s="3"/>
      <c r="E22" s="3"/>
      <c r="F22" s="4"/>
    </row>
    <row r="23" spans="2:6" x14ac:dyDescent="0.25">
      <c r="B23" s="110"/>
      <c r="C23" s="111"/>
      <c r="D23" s="111"/>
      <c r="E23" s="111"/>
      <c r="F23" s="112"/>
    </row>
    <row r="24" spans="2:6" x14ac:dyDescent="0.25">
      <c r="B24" s="113"/>
      <c r="C24" s="114"/>
      <c r="D24" s="114"/>
      <c r="E24" s="114"/>
      <c r="F24" s="115"/>
    </row>
    <row r="25" spans="2:6" x14ac:dyDescent="0.25">
      <c r="B25" s="113"/>
      <c r="C25" s="114"/>
      <c r="D25" s="114"/>
      <c r="E25" s="114"/>
      <c r="F25" s="115"/>
    </row>
    <row r="26" spans="2:6" x14ac:dyDescent="0.25">
      <c r="B26" s="116"/>
      <c r="C26" s="117"/>
      <c r="D26" s="117"/>
      <c r="E26" s="117"/>
      <c r="F26" s="118"/>
    </row>
    <row r="27" spans="2:6" x14ac:dyDescent="0.25">
      <c r="B27" t="s">
        <v>177</v>
      </c>
    </row>
    <row r="28" spans="2:6" x14ac:dyDescent="0.25">
      <c r="B28" t="s">
        <v>185</v>
      </c>
    </row>
  </sheetData>
  <sheetProtection algorithmName="SHA-512" hashValue="MI9IAg9m6njNGmuBCGKgMta3QjAcMvvvmQcsk91qXfKK89k6AsSUy+qvJRfgCqbJjnNMaffzwJpEaNlzAWfS9g==" saltValue="KYBE4UEMNlJg3uLSyGLznw==" spinCount="100000" sheet="1" objects="1" scenarios="1"/>
  <mergeCells count="5">
    <mergeCell ref="C5:G5"/>
    <mergeCell ref="C6:G6"/>
    <mergeCell ref="B2:G2"/>
    <mergeCell ref="B3:G3"/>
    <mergeCell ref="B23:F26"/>
  </mergeCells>
  <conditionalFormatting sqref="B23">
    <cfRule type="containsBlanks" dxfId="2" priority="3">
      <formula>LEN(TRIM(B23))=0</formula>
    </cfRule>
  </conditionalFormatting>
  <conditionalFormatting sqref="C5">
    <cfRule type="containsBlanks" dxfId="1" priority="2">
      <formula>LEN(TRIM(C5))=0</formula>
    </cfRule>
  </conditionalFormatting>
  <conditionalFormatting sqref="C6">
    <cfRule type="containsBlanks" dxfId="0" priority="1">
      <formula>LEN(TRIM(C6))=0</formula>
    </cfRule>
  </conditionalFormatting>
  <dataValidations count="2">
    <dataValidation allowBlank="1" showInputMessage="1" showErrorMessage="1" promptTitle="Nombres y Apellidos" prompt="Diligencie los nombres y apellidos del jefe de control interno que esta reportando" sqref="C6:G6" xr:uid="{00000000-0002-0000-0700-000000000000}"/>
    <dataValidation allowBlank="1" showInputMessage="1" showErrorMessage="1" promptTitle="Nombre entidad que reporta" prompt="Diligenciar Nombre de entidad" sqref="C5:G5" xr:uid="{00000000-0002-0000-0700-000001000000}"/>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topLeftCell="BI1" zoomScaleNormal="100" workbookViewId="0">
      <selection activeCell="BO3" sqref="BO3"/>
    </sheetView>
  </sheetViews>
  <sheetFormatPr baseColWidth="10" defaultColWidth="10.7109375" defaultRowHeight="15" x14ac:dyDescent="0.25"/>
  <cols>
    <col min="1" max="1" width="34.5703125" style="69" customWidth="1"/>
    <col min="2" max="2" width="29.5703125" style="69" customWidth="1"/>
    <col min="3" max="16384" width="10.7109375" style="69"/>
  </cols>
  <sheetData>
    <row r="2" spans="1:67" x14ac:dyDescent="0.25">
      <c r="A2" s="72" t="s">
        <v>36</v>
      </c>
      <c r="B2" s="72" t="s">
        <v>108</v>
      </c>
      <c r="C2" s="72" t="s">
        <v>21</v>
      </c>
      <c r="D2" s="72" t="s">
        <v>22</v>
      </c>
      <c r="E2" s="72" t="s">
        <v>26</v>
      </c>
      <c r="F2" s="72" t="s">
        <v>20</v>
      </c>
      <c r="G2" s="72" t="s">
        <v>97</v>
      </c>
      <c r="H2" s="73" t="s">
        <v>98</v>
      </c>
      <c r="I2" s="74" t="s">
        <v>109</v>
      </c>
      <c r="J2" s="74" t="s">
        <v>110</v>
      </c>
      <c r="K2" s="74" t="s">
        <v>111</v>
      </c>
      <c r="L2" s="74" t="s">
        <v>112</v>
      </c>
      <c r="M2" s="74" t="s">
        <v>113</v>
      </c>
      <c r="N2" s="74" t="s">
        <v>114</v>
      </c>
      <c r="O2" s="74" t="s">
        <v>115</v>
      </c>
      <c r="P2" s="72" t="s">
        <v>27</v>
      </c>
      <c r="Q2" s="72" t="s">
        <v>28</v>
      </c>
      <c r="R2" s="72" t="s">
        <v>29</v>
      </c>
      <c r="S2" s="72" t="s">
        <v>116</v>
      </c>
      <c r="T2" s="72" t="s">
        <v>117</v>
      </c>
      <c r="U2" s="72" t="s">
        <v>35</v>
      </c>
      <c r="V2" s="72" t="s">
        <v>118</v>
      </c>
      <c r="W2" s="72" t="s">
        <v>81</v>
      </c>
      <c r="X2" s="72" t="s">
        <v>82</v>
      </c>
      <c r="Y2" s="72" t="s">
        <v>83</v>
      </c>
      <c r="Z2" s="72" t="s">
        <v>84</v>
      </c>
      <c r="AA2" s="72" t="s">
        <v>85</v>
      </c>
      <c r="AB2" s="74" t="s">
        <v>119</v>
      </c>
      <c r="AC2" s="74" t="s">
        <v>120</v>
      </c>
      <c r="AD2" s="74" t="s">
        <v>121</v>
      </c>
      <c r="AE2" s="72" t="s">
        <v>33</v>
      </c>
      <c r="AF2" s="72" t="s">
        <v>58</v>
      </c>
      <c r="AG2" s="72" t="s">
        <v>59</v>
      </c>
      <c r="AH2" s="72" t="s">
        <v>34</v>
      </c>
      <c r="AI2" s="72" t="s">
        <v>122</v>
      </c>
      <c r="AJ2" s="72" t="s">
        <v>123</v>
      </c>
      <c r="AK2" s="72" t="s">
        <v>124</v>
      </c>
      <c r="AL2" s="72" t="s">
        <v>125</v>
      </c>
      <c r="AM2" s="72" t="s">
        <v>126</v>
      </c>
      <c r="AN2" s="72" t="s">
        <v>127</v>
      </c>
      <c r="AO2" s="72" t="s">
        <v>128</v>
      </c>
      <c r="AP2" s="72" t="s">
        <v>129</v>
      </c>
      <c r="AQ2" s="75" t="s">
        <v>51</v>
      </c>
      <c r="AR2" s="75" t="s">
        <v>52</v>
      </c>
      <c r="AS2" s="75" t="s">
        <v>48</v>
      </c>
      <c r="AT2" s="75" t="s">
        <v>49</v>
      </c>
      <c r="AU2" s="75" t="s">
        <v>50</v>
      </c>
      <c r="AV2" s="75" t="s">
        <v>53</v>
      </c>
      <c r="AW2" s="75" t="s">
        <v>66</v>
      </c>
      <c r="AX2" s="75" t="s">
        <v>55</v>
      </c>
      <c r="AY2" s="75" t="s">
        <v>56</v>
      </c>
      <c r="AZ2" s="75" t="s">
        <v>68</v>
      </c>
      <c r="BA2" s="75" t="s">
        <v>69</v>
      </c>
      <c r="BB2" s="76" t="s">
        <v>130</v>
      </c>
      <c r="BC2" s="76" t="s">
        <v>86</v>
      </c>
      <c r="BD2" s="77" t="s">
        <v>131</v>
      </c>
      <c r="BE2" s="77" t="s">
        <v>132</v>
      </c>
      <c r="BF2" s="77" t="s">
        <v>133</v>
      </c>
      <c r="BG2" s="77" t="s">
        <v>134</v>
      </c>
      <c r="BH2" s="77" t="s">
        <v>135</v>
      </c>
      <c r="BI2" s="77" t="s">
        <v>136</v>
      </c>
      <c r="BJ2" s="77" t="s">
        <v>137</v>
      </c>
      <c r="BK2" s="77" t="s">
        <v>138</v>
      </c>
      <c r="BL2" s="77" t="s">
        <v>139</v>
      </c>
      <c r="BM2" s="77" t="s">
        <v>140</v>
      </c>
      <c r="BN2" s="77" t="s">
        <v>141</v>
      </c>
      <c r="BO2" s="77" t="s">
        <v>142</v>
      </c>
    </row>
    <row r="3" spans="1:67" x14ac:dyDescent="0.25">
      <c r="A3" s="69">
        <f>'Resumen General'!C5</f>
        <v>0</v>
      </c>
      <c r="B3" s="69">
        <f>'Resumen General'!C6</f>
        <v>0</v>
      </c>
      <c r="C3" s="69">
        <f>+ABOGADOS!D11</f>
        <v>8</v>
      </c>
      <c r="D3" s="69">
        <f>+ABOGADOS!D12</f>
        <v>14</v>
      </c>
      <c r="E3" s="69">
        <f>+ABOGADOS!D13</f>
        <v>14</v>
      </c>
      <c r="F3" s="69">
        <f>+ABOGADOS!D14</f>
        <v>0</v>
      </c>
      <c r="G3" s="69">
        <f>+ABOGADOS!D17</f>
        <v>0</v>
      </c>
      <c r="H3" s="69">
        <f>+ABOGADOS!D18</f>
        <v>0</v>
      </c>
      <c r="I3" s="69">
        <f>+ABOGADOS!G10</f>
        <v>10</v>
      </c>
      <c r="J3" s="69">
        <f>+ABOGADOS!G11</f>
        <v>10</v>
      </c>
      <c r="K3" s="69">
        <f>+ABOGADOS!G12</f>
        <v>10</v>
      </c>
      <c r="L3" s="69">
        <f>+ABOGADOS!G17</f>
        <v>14</v>
      </c>
      <c r="M3" s="69">
        <f>+ABOGADOS!G18</f>
        <v>0</v>
      </c>
      <c r="N3" s="69">
        <f>+ABOGADOS!G19</f>
        <v>0</v>
      </c>
      <c r="O3" s="69">
        <f>+ABOGADOS!G21</f>
        <v>0</v>
      </c>
      <c r="P3" s="69">
        <f>+JUDICIALES!D11</f>
        <v>716</v>
      </c>
      <c r="Q3" s="69">
        <f>+JUDICIALES!D12</f>
        <v>716</v>
      </c>
      <c r="R3" s="69">
        <f>+JUDICIALES!D13</f>
        <v>0</v>
      </c>
      <c r="S3" s="69">
        <f>+JUDICIALES!D16</f>
        <v>54</v>
      </c>
      <c r="T3" s="69">
        <f>+JUDICIALES!D17</f>
        <v>54</v>
      </c>
      <c r="U3" s="69">
        <f>+JUDICIALES!D21</f>
        <v>54</v>
      </c>
      <c r="V3" s="69">
        <f>+JUDICIALES!D22</f>
        <v>1</v>
      </c>
      <c r="W3" s="69">
        <f>JUDICIALES!D28</f>
        <v>10</v>
      </c>
      <c r="X3" s="69">
        <f>JUDICIALES!D29</f>
        <v>10</v>
      </c>
      <c r="Y3" s="69">
        <f>JUDICIALES!D30</f>
        <v>0</v>
      </c>
      <c r="Z3" s="69">
        <f>JUDICIALES!D31</f>
        <v>0</v>
      </c>
      <c r="AA3" s="69">
        <f>JUDICIALES!D32</f>
        <v>0</v>
      </c>
      <c r="AB3" s="69">
        <f>+JUDICIALES!G9</f>
        <v>1</v>
      </c>
      <c r="AC3" s="69">
        <f>+JUDICIALES!G10</f>
        <v>1</v>
      </c>
      <c r="AD3" s="69">
        <f>+JUDICIALES!G11</f>
        <v>1</v>
      </c>
      <c r="AE3" s="69">
        <f>+JUDICIALES!G15</f>
        <v>62</v>
      </c>
      <c r="AF3" s="69">
        <f>+JUDICIALES!G16</f>
        <v>62</v>
      </c>
      <c r="AG3" s="69">
        <f>+JUDICIALES!G17</f>
        <v>0</v>
      </c>
      <c r="AH3" s="69">
        <f>+JUDICIALES!G18</f>
        <v>0</v>
      </c>
      <c r="AI3" s="69">
        <f>+JUDICIALES!G21</f>
        <v>8</v>
      </c>
      <c r="AJ3" s="69">
        <f>+JUDICIALES!G22</f>
        <v>36</v>
      </c>
      <c r="AK3" s="69">
        <f>+JUDICIALES!G23</f>
        <v>7</v>
      </c>
      <c r="AL3" s="69">
        <f>+JUDICIALES!G24</f>
        <v>10</v>
      </c>
      <c r="AM3" s="69">
        <f>+JUDICIALES!H21</f>
        <v>8</v>
      </c>
      <c r="AN3" s="69">
        <f>+JUDICIALES!H22</f>
        <v>0</v>
      </c>
      <c r="AO3" s="69">
        <f>+JUDICIALES!H23</f>
        <v>0</v>
      </c>
      <c r="AP3" s="69">
        <f>+JUDICIALES!H24</f>
        <v>0</v>
      </c>
      <c r="AQ3" s="69">
        <f>+PREJUDICIALES!D10</f>
        <v>8</v>
      </c>
      <c r="AR3" s="69">
        <f>+PREJUDICIALES!D11</f>
        <v>8</v>
      </c>
      <c r="AS3" s="69">
        <f>+PREJUDICIALES!D12</f>
        <v>8</v>
      </c>
      <c r="AT3" s="69">
        <f>+PREJUDICIALES!D13</f>
        <v>0</v>
      </c>
      <c r="AU3" s="69">
        <f>+PREJUDICIALES!D14</f>
        <v>0</v>
      </c>
      <c r="AV3" s="69">
        <f>+PREJUDICIALES!D17</f>
        <v>8</v>
      </c>
      <c r="AW3" s="69">
        <f>+PREJUDICIALES!D18</f>
        <v>8</v>
      </c>
      <c r="AX3" s="69">
        <f>+PREJUDICIALES!G12</f>
        <v>0</v>
      </c>
      <c r="AY3" s="69">
        <f>+PREJUDICIALES!G13</f>
        <v>0</v>
      </c>
      <c r="AZ3" s="69">
        <f>+ARBITRAMENTOS!D9</f>
        <v>0</v>
      </c>
      <c r="BA3" s="69">
        <f>+ARBITRAMENTOS!D10</f>
        <v>0</v>
      </c>
      <c r="BB3" s="69">
        <f>ARBITRAMENTOS!G9</f>
        <v>0</v>
      </c>
      <c r="BC3" s="69">
        <f>ARBITRAMENTOS!G10</f>
        <v>0</v>
      </c>
      <c r="BD3" s="69" t="str">
        <f>+PAGOS!D9</f>
        <v>No</v>
      </c>
      <c r="BE3" s="69" t="str">
        <f>+PAGOS!D10</f>
        <v>No</v>
      </c>
      <c r="BF3" s="70">
        <f>USUARIOS!D9</f>
        <v>44820</v>
      </c>
      <c r="BG3" s="70">
        <f>ABOGADOS!D7</f>
        <v>44820</v>
      </c>
      <c r="BH3" s="70">
        <f>JUDICIALES!D8</f>
        <v>44820</v>
      </c>
      <c r="BI3" s="69" t="str">
        <f>+USUARIOS!C19</f>
        <v>Sin observaciones</v>
      </c>
      <c r="BJ3" s="69">
        <f>+ABOGADOS!C22</f>
        <v>0</v>
      </c>
      <c r="BK3" s="69" t="str">
        <f>+JUDICIALES!F28</f>
        <v xml:space="preserve">I) LA FUENTE DE LA INFORMACIÓN QUE REPORTA LA OFICINA ASESORA JURÍDICA ES LA MISMA INFORMACIÓN QUE REPOSA EN EL SISTEMA E-KOGUI.                                                              2) EN 8 DE LOS 10 CASOS DE LA MUESTRA ESCOGIDA PARA VERIFICAR LAS CONDENAS, NO SE ENCONTRÓ DILIGENCIADA LA INFORMACIÓN EN LA CASILLA DE SENTIDO DEL FALLO, LOS OTROS DOS REPORTAN SENTIDO FAVORABLE.  ESTOS OCHO CASOS SON PROCESOS EJECUTIVOS, EN LO CUALES, SEGÚN REPORTA LA OAJ, EL SISTEMA NO ESTÁ PARAMETRIZADO PARA DILIGENCIAR EL SENTIDO DEL FALLO.   3) PROCESO E-KOGUI 2304359 SIN CALIFICACIÓN DE PROBABILIDAD DE PERDER EL CASO. EL PROCESO SE CALIFICÓ EL 22 DE JULIO DE 2022, UNA VEZ CONTESTADA LA DEMANDA, SEGÚN SE VERIFICÓ EN LA TRAZA DEL SISTEMA Y CON EL ADMINISTRADOR DEL SISTEMA. </v>
      </c>
      <c r="BL3" s="69" t="str">
        <f>+PREJUDICIALES!F17</f>
        <v>I) LA FUENTE DE LA INFORMACIÓN QUE REPORTA LA OFICINA ASESORA JURÍDICA ES LA MISMA INFORMACIÓN QUE REPOSA EN EL SISTEMA E-KOGUI.</v>
      </c>
      <c r="BM3" s="69">
        <f>+ARBITRAMENTOS!C13</f>
        <v>0</v>
      </c>
      <c r="BN3" s="69">
        <f>+PAGOS!F8</f>
        <v>0</v>
      </c>
      <c r="BO3" s="69">
        <f>'Resumen General'!B23</f>
        <v>0</v>
      </c>
    </row>
    <row r="12" spans="1:67" x14ac:dyDescent="0.25">
      <c r="A12" s="69" t="s">
        <v>36</v>
      </c>
      <c r="B12" s="69" t="s">
        <v>15</v>
      </c>
      <c r="C12" s="72" t="s">
        <v>16</v>
      </c>
      <c r="D12" s="72" t="s">
        <v>6</v>
      </c>
      <c r="E12" s="72" t="s">
        <v>7</v>
      </c>
      <c r="F12" s="72" t="s">
        <v>17</v>
      </c>
      <c r="G12" s="72" t="s">
        <v>76</v>
      </c>
    </row>
    <row r="13" spans="1:67" x14ac:dyDescent="0.25">
      <c r="A13" s="69">
        <f t="shared" ref="A13:A18" si="0">$A$3</f>
        <v>0</v>
      </c>
      <c r="B13" s="69" t="s">
        <v>0</v>
      </c>
      <c r="C13" s="69" t="str">
        <f>USUARIOS!C12</f>
        <v>Si</v>
      </c>
      <c r="D13" s="71">
        <f>USUARIOS!D12</f>
        <v>43923</v>
      </c>
      <c r="E13" s="69" t="str">
        <f>USUARIOS!E12</f>
        <v>DORIS POVEDA BELTRÁN</v>
      </c>
      <c r="F13" s="71">
        <f>USUARIOS!F12</f>
        <v>44570</v>
      </c>
      <c r="G13" s="69" t="str">
        <f>USUARIOS!G12</f>
        <v/>
      </c>
    </row>
    <row r="14" spans="1:67" x14ac:dyDescent="0.25">
      <c r="A14" s="69">
        <f t="shared" si="0"/>
        <v>0</v>
      </c>
      <c r="B14" s="69" t="s">
        <v>1</v>
      </c>
      <c r="C14" s="69" t="str">
        <f>USUARIOS!C13</f>
        <v>Si</v>
      </c>
      <c r="D14" s="71">
        <f>USUARIOS!D13</f>
        <v>43880</v>
      </c>
      <c r="E14" s="69" t="str">
        <f>USUARIOS!E13</f>
        <v>ANA LUCY CASTRO CASTRO</v>
      </c>
      <c r="F14" s="71">
        <f>USUARIOS!F13</f>
        <v>44742</v>
      </c>
      <c r="G14" s="69" t="str">
        <f>USUARIOS!G13</f>
        <v/>
      </c>
    </row>
    <row r="15" spans="1:67" x14ac:dyDescent="0.25">
      <c r="A15" s="69">
        <f t="shared" si="0"/>
        <v>0</v>
      </c>
      <c r="B15" s="69" t="s">
        <v>2</v>
      </c>
      <c r="C15" s="69" t="str">
        <f>USUARIOS!C14</f>
        <v>No</v>
      </c>
      <c r="D15" s="71">
        <f>USUARIOS!D15</f>
        <v>43746</v>
      </c>
      <c r="E15" s="69">
        <f>USUARIOS!E14</f>
        <v>0</v>
      </c>
      <c r="F15" s="71">
        <f>USUARIOS!F14</f>
        <v>0</v>
      </c>
      <c r="G15" s="69" t="str">
        <f>USUARIOS!G14</f>
        <v/>
      </c>
    </row>
    <row r="16" spans="1:67" x14ac:dyDescent="0.25">
      <c r="A16" s="69">
        <f t="shared" si="0"/>
        <v>0</v>
      </c>
      <c r="B16" s="69" t="s">
        <v>3</v>
      </c>
      <c r="C16" s="69" t="str">
        <f>USUARIOS!C15</f>
        <v>Si</v>
      </c>
      <c r="D16" s="71" t="e">
        <f>USUARIOS!#REF!</f>
        <v>#REF!</v>
      </c>
      <c r="E16" s="69" t="str">
        <f>USUARIOS!E15</f>
        <v>CARLOS JAVIER RODRÍGUEZ ORDOÑEZ</v>
      </c>
      <c r="F16" s="71">
        <f>USUARIOS!F15</f>
        <v>44390</v>
      </c>
      <c r="G16" s="69" t="str">
        <f>USUARIOS!G15</f>
        <v/>
      </c>
    </row>
    <row r="17" spans="1:7" x14ac:dyDescent="0.25">
      <c r="A17" s="69">
        <f t="shared" si="0"/>
        <v>0</v>
      </c>
      <c r="B17" s="69" t="s">
        <v>4</v>
      </c>
      <c r="C17" s="69" t="str">
        <f>USUARIOS!C16</f>
        <v>Si</v>
      </c>
      <c r="D17" s="71">
        <f>USUARIOS!D16</f>
        <v>44586</v>
      </c>
      <c r="E17" s="69" t="str">
        <f>USUARIOS!E16</f>
        <v>RICARDO CORTÉS PARDO</v>
      </c>
      <c r="F17" s="71">
        <f>USUARIOS!F16</f>
        <v>44742</v>
      </c>
      <c r="G17" s="69" t="str">
        <f>USUARIOS!G16</f>
        <v/>
      </c>
    </row>
    <row r="18" spans="1:7" x14ac:dyDescent="0.25">
      <c r="A18" s="69">
        <f t="shared" si="0"/>
        <v>0</v>
      </c>
      <c r="B18" s="69" t="s">
        <v>5</v>
      </c>
      <c r="C18" s="69" t="str">
        <f>USUARIOS!C17</f>
        <v>Si</v>
      </c>
      <c r="D18" s="71">
        <f>USUARIOS!D17</f>
        <v>44586</v>
      </c>
      <c r="E18" s="69" t="str">
        <f>USUARIOS!E17</f>
        <v>RICARDO CORTÉS PARDO</v>
      </c>
      <c r="F18" s="71">
        <f>USUARIOS!F17</f>
        <v>44743</v>
      </c>
      <c r="G18" s="69" t="str">
        <f>USUARIOS!G17</f>
        <v/>
      </c>
    </row>
  </sheetData>
  <sheetProtection algorithmName="SHA-512" hashValue="OkHp+4/XyQ417CCrePCpuKk2J4yoW2NaRqgvmIK3t20ri1bTnLcw34YVhufy/GP0yo2lXzq+J5H4Wh5cptbQxg==" saltValue="CCA9SvlNPlPw9E6zyIvQQw==" spinCount="100000" sheet="1" objects="1" scenarios="1"/>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baseType="variant" size="2">
      <vt:variant>
        <vt:lpstr>Hojas de cálculo</vt:lpstr>
      </vt:variant>
      <vt:variant>
        <vt:i4>9</vt:i4>
      </vt:variant>
    </vt:vector>
  </HeadingPairs>
  <TitlesOfParts>
    <vt:vector baseType="lpstr" size="9">
      <vt:lpstr>Principal</vt:lpstr>
      <vt:lpstr>USUARIOS</vt:lpstr>
      <vt:lpstr>ABOGADOS</vt:lpstr>
      <vt:lpstr>JUDICIALES</vt:lpstr>
      <vt:lpstr>PREJUDICIALES</vt:lpstr>
      <vt:lpstr>ARBITRAMENTOS</vt:lpstr>
      <vt:lpstr>PAGOS</vt:lpstr>
      <vt:lpstr>Resumen General</vt:lpstr>
      <vt:lpstr>Base a pegar</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