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9540" windowHeight="1725" firstSheet="1" activeTab="5"/>
  </bookViews>
  <sheets>
    <sheet name="INGRESOS" sheetId="1" r:id="rId1"/>
    <sheet name="GASTOS" sheetId="2" r:id="rId2"/>
    <sheet name="PAC" sheetId="3" r:id="rId3"/>
    <sheet name="Reservas Presupuestales" sheetId="4" r:id="rId4"/>
    <sheet name="Cuentas por Pagar" sheetId="5" r:id="rId5"/>
    <sheet name="VIGILANCIA FISCAL" sheetId="6" r:id="rId6"/>
  </sheets>
  <externalReferences>
    <externalReference r:id="rId9"/>
  </externalReferences>
  <definedNames>
    <definedName name="\a" localSheetId="4">'[1]INGRESOS'!#REF!</definedName>
    <definedName name="\a">'INGRESOS'!#REF!</definedName>
    <definedName name="\z" localSheetId="4">'Cuentas por Pagar'!#REF!</definedName>
    <definedName name="\z" localSheetId="3">'Reservas Presupuestales'!#REF!</definedName>
    <definedName name="\z">'GASTOS'!#REF!</definedName>
    <definedName name="_Regression_Int" localSheetId="4" hidden="1">1</definedName>
    <definedName name="_Regression_Int" localSheetId="1" hidden="1">1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xlnm.Print_Area" localSheetId="4">'Cuentas por Pagar'!$A$1:$AY$57</definedName>
    <definedName name="C_" localSheetId="4">'Cuentas por Pagar'!#REF!</definedName>
    <definedName name="C_" localSheetId="3">'Reservas Presupuestales'!#REF!</definedName>
    <definedName name="C_">'GASTOS'!#REF!</definedName>
    <definedName name="Cargo" localSheetId="4">'[1]INGRESOS'!#REF!</definedName>
    <definedName name="Cargo">'INGRESOS'!#REF!</definedName>
    <definedName name="Firma" localSheetId="4">'[1]INGRESOS'!#REF!</definedName>
    <definedName name="Firma">'INGRESOS'!#REF!</definedName>
    <definedName name="GASTOS" localSheetId="4">'Cuentas por Pagar'!$A$1:$AY$25</definedName>
    <definedName name="GASTOS" localSheetId="3">'Reservas Presupuestales'!$A$1:$AY$9</definedName>
    <definedName name="GASTOS">'GASTOS'!$A$1:$BK$43</definedName>
    <definedName name="INGRESOS">'INGRESOS'!$A$1:$Y$34</definedName>
    <definedName name="PAC">'PAC'!$A$1:$AL$29</definedName>
    <definedName name="RES_APROP">#REF!</definedName>
    <definedName name="_xlnm.Print_Titles" localSheetId="4">'Cuentas por Pagar'!$1:$7</definedName>
    <definedName name="_xlnm.Print_Titles" localSheetId="1">'GASTOS'!$1:$7</definedName>
    <definedName name="_xlnm.Print_Titles" localSheetId="3">'Reservas Presupuestales'!$1:$7</definedName>
  </definedNames>
  <calcPr fullCalcOnLoad="1"/>
</workbook>
</file>

<file path=xl/sharedStrings.xml><?xml version="1.0" encoding="utf-8"?>
<sst xmlns="http://schemas.openxmlformats.org/spreadsheetml/2006/main" count="1659" uniqueCount="277">
  <si>
    <t>CONTRALORÍA GENERAL DE LA REPÚBLICA</t>
  </si>
  <si>
    <t>Sección Principal</t>
  </si>
  <si>
    <t xml:space="preserve"> 22 MinEducación</t>
  </si>
  <si>
    <t>Mes Reportado: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</si>
  <si>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</si>
  <si>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</si>
  <si>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</si>
  <si>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</si>
  <si>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</si>
  <si>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</si>
  <si>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</si>
  <si>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</si>
  <si>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</si>
  <si>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</si>
  <si>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</si>
  <si>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</si>
  <si>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</si>
  <si>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Fecha:</t>
  </si>
  <si>
    <t>Unidad de Contabilidad Presupuestal y del Tesoro</t>
  </si>
  <si>
    <t>Sección</t>
  </si>
  <si>
    <t>Vigencia Fiscal:</t>
  </si>
  <si>
    <t>2001</t>
  </si>
  <si>
    <t>PRESUPUESTO</t>
  </si>
  <si>
    <t>MODIFICACIONES</t>
  </si>
  <si>
    <t>RECAUDO</t>
  </si>
  <si>
    <t>RECAUDOS</t>
  </si>
  <si>
    <t>SALDO</t>
  </si>
  <si>
    <t>NIVEL</t>
  </si>
  <si>
    <t>DESCRIPCION</t>
  </si>
  <si>
    <t>Recono-</t>
  </si>
  <si>
    <t>INICIAL</t>
  </si>
  <si>
    <t>ADICIONES</t>
  </si>
  <si>
    <t>REDUCCIONES</t>
  </si>
  <si>
    <t>DEFINITIVO</t>
  </si>
  <si>
    <t>ACUMULADOS</t>
  </si>
  <si>
    <t>cimiento</t>
  </si>
  <si>
    <t>(1)</t>
  </si>
  <si>
    <t>(2)</t>
  </si>
  <si>
    <t>(3)</t>
  </si>
  <si>
    <t>(4=1+2-3)</t>
  </si>
  <si>
    <t>(5)</t>
  </si>
  <si>
    <t>(6)</t>
  </si>
  <si>
    <t>(7=4-6)</t>
  </si>
  <si>
    <t>3000</t>
  </si>
  <si>
    <t>I. RECURSOS PROPIOS (A+B)</t>
  </si>
  <si>
    <t>3100</t>
  </si>
  <si>
    <t xml:space="preserve">   A. RENTAS PROPIAS</t>
  </si>
  <si>
    <t>3110</t>
  </si>
  <si>
    <t xml:space="preserve">      TRIBUTARIOS</t>
  </si>
  <si>
    <t>3111</t>
  </si>
  <si>
    <t xml:space="preserve">         IMPUESTOS</t>
  </si>
  <si>
    <t>3112</t>
  </si>
  <si>
    <t xml:space="preserve">         CONTRIBUCIONES</t>
  </si>
  <si>
    <t>3120</t>
  </si>
  <si>
    <t xml:space="preserve">      NO TRIBUTARIOS</t>
  </si>
  <si>
    <t>3121</t>
  </si>
  <si>
    <t xml:space="preserve">         VENTA DE BIENES Y SERVICIOS</t>
  </si>
  <si>
    <t>3122</t>
  </si>
  <si>
    <t xml:space="preserve">         RENTAS CONTRACTUALES</t>
  </si>
  <si>
    <t>3123</t>
  </si>
  <si>
    <t xml:space="preserve">         OPERACIONES COMERCIALES</t>
  </si>
  <si>
    <t>3124</t>
  </si>
  <si>
    <t xml:space="preserve">         APORTES PATRONALES</t>
  </si>
  <si>
    <t>3125</t>
  </si>
  <si>
    <t xml:space="preserve">         APORTES DE AFILIADOS</t>
  </si>
  <si>
    <t>3126</t>
  </si>
  <si>
    <t xml:space="preserve">         APORTES DE OTRAS ENTIDADES</t>
  </si>
  <si>
    <t>3127</t>
  </si>
  <si>
    <t xml:space="preserve">         DONACIONES</t>
  </si>
  <si>
    <t>3128</t>
  </si>
  <si>
    <t xml:space="preserve">         OTROS</t>
  </si>
  <si>
    <t>3200</t>
  </si>
  <si>
    <t xml:space="preserve">   B. RECURSOS DE CAPITAL</t>
  </si>
  <si>
    <t>3210</t>
  </si>
  <si>
    <t xml:space="preserve">      CRÉDITO EXTERNO</t>
  </si>
  <si>
    <t>3220</t>
  </si>
  <si>
    <t xml:space="preserve">      CRÉDITO INTERNO</t>
  </si>
  <si>
    <t>3230</t>
  </si>
  <si>
    <t xml:space="preserve">      RENDIMIENTO INVERSIONES FINANCIERAS</t>
  </si>
  <si>
    <t>3240</t>
  </si>
  <si>
    <t xml:space="preserve">      DIFERENCIAL CAMBIARIO</t>
  </si>
  <si>
    <t>3250</t>
  </si>
  <si>
    <t xml:space="preserve">      RECURSOS DEL BALANCE  (3250..3254)</t>
  </si>
  <si>
    <t>3251</t>
  </si>
  <si>
    <t xml:space="preserve">         VENTA DE ACTIVOS</t>
  </si>
  <si>
    <t>3252</t>
  </si>
  <si>
    <t xml:space="preserve">         SUPERAVIT FISCAL</t>
  </si>
  <si>
    <t>3253</t>
  </si>
  <si>
    <t xml:space="preserve">         CANCELACION RESERVAS</t>
  </si>
  <si>
    <t>4000</t>
  </si>
  <si>
    <t>II. APORTES DE LA NACION</t>
  </si>
  <si>
    <t>4100</t>
  </si>
  <si>
    <t xml:space="preserve">    FUNCIONAMIENTO</t>
  </si>
  <si>
    <t>4200</t>
  </si>
  <si>
    <t xml:space="preserve">    DEUDA</t>
  </si>
  <si>
    <t>4300</t>
  </si>
  <si>
    <t xml:space="preserve">    INVERSION</t>
  </si>
  <si>
    <t>TOTAL INGRESOS (I+II)</t>
  </si>
  <si>
    <t>IDENTIFICACION PRESUPUESTAL</t>
  </si>
  <si>
    <t>APROPIACION</t>
  </si>
  <si>
    <t>MODIFICACIONES (2)</t>
  </si>
  <si>
    <t>COMPROMISOS</t>
  </si>
  <si>
    <t>OBLIGACIONES</t>
  </si>
  <si>
    <t>PAGOS</t>
  </si>
  <si>
    <t>RESERVA</t>
  </si>
  <si>
    <t>CUENTAS</t>
  </si>
  <si>
    <t>FID</t>
  </si>
  <si>
    <t>UE</t>
  </si>
  <si>
    <t>CT SC</t>
  </si>
  <si>
    <t>OBJG</t>
  </si>
  <si>
    <t>ORD</t>
  </si>
  <si>
    <t>REC</t>
  </si>
  <si>
    <t>TRASLADOS</t>
  </si>
  <si>
    <t>DEFINITIVA</t>
  </si>
  <si>
    <t>PRESUPUESTAL</t>
  </si>
  <si>
    <t>POR PAGAR</t>
  </si>
  <si>
    <t>PROGR</t>
  </si>
  <si>
    <t>SUBPR</t>
  </si>
  <si>
    <t>PROYE</t>
  </si>
  <si>
    <t>Contracréditos</t>
  </si>
  <si>
    <t>Créditos</t>
  </si>
  <si>
    <t>Aplazamientos</t>
  </si>
  <si>
    <t>Reducciones</t>
  </si>
  <si>
    <t>Adiciones</t>
  </si>
  <si>
    <t>(3=1-2)</t>
  </si>
  <si>
    <t>CONTRACREDITOS</t>
  </si>
  <si>
    <t>CREDITOS</t>
  </si>
  <si>
    <t>APLAZAMIENTOS</t>
  </si>
  <si>
    <t>(4)</t>
  </si>
  <si>
    <t>(6=3-4)</t>
  </si>
  <si>
    <t>(7=4-5)</t>
  </si>
  <si>
    <t>(8=5-6)</t>
  </si>
  <si>
    <t>RECURSOS ADMINISTRADOS</t>
  </si>
  <si>
    <t>F</t>
  </si>
  <si>
    <t xml:space="preserve"> </t>
  </si>
  <si>
    <t>TOTAL GASTOS DE FUNCIONAMIENTO</t>
  </si>
  <si>
    <t>00</t>
  </si>
  <si>
    <t>1</t>
  </si>
  <si>
    <t>Gastos de Personal</t>
  </si>
  <si>
    <t>1-0</t>
  </si>
  <si>
    <t>20</t>
  </si>
  <si>
    <t>Sueldos de Personal de Nomina</t>
  </si>
  <si>
    <t>2</t>
  </si>
  <si>
    <t>Horas Extras y Días Festivos</t>
  </si>
  <si>
    <t>3</t>
  </si>
  <si>
    <t>Indemnización por Vacaciones</t>
  </si>
  <si>
    <t>4</t>
  </si>
  <si>
    <t>Prima Técnica</t>
  </si>
  <si>
    <t>5</t>
  </si>
  <si>
    <t>Otros</t>
  </si>
  <si>
    <t>8</t>
  </si>
  <si>
    <t>Otros Gastos Personales - (Distribución Previo Concepto DGPN)</t>
  </si>
  <si>
    <t>Servicios Personales Indirectos</t>
  </si>
  <si>
    <t>Contribuciones inherentes a la Nómina Sector Privado</t>
  </si>
  <si>
    <t>Contribuciones inherentes a la Nómina Sector Público</t>
  </si>
  <si>
    <t>999</t>
  </si>
  <si>
    <t>Pagos Pasivos Exigibles Vigencias Expiradas</t>
  </si>
  <si>
    <t>Gastos Generales</t>
  </si>
  <si>
    <t>2-0</t>
  </si>
  <si>
    <t>Adquisición de Bienes</t>
  </si>
  <si>
    <t>Adquisición de Servicios</t>
  </si>
  <si>
    <t>Impuestos y Multas</t>
  </si>
  <si>
    <t>Transferencias Corrientes</t>
  </si>
  <si>
    <t>3-2</t>
  </si>
  <si>
    <t>Cuota de Auditaje Contranal</t>
  </si>
  <si>
    <t>3-4</t>
  </si>
  <si>
    <t>Organismos Internacionales</t>
  </si>
  <si>
    <t>3-6</t>
  </si>
  <si>
    <t>Sentencias</t>
  </si>
  <si>
    <t>Superintendencia Bancaria Ley 18 de 1988</t>
  </si>
  <si>
    <t>D</t>
  </si>
  <si>
    <t>7</t>
  </si>
  <si>
    <t>SERVICIO DE DEUDA INTERNA</t>
  </si>
  <si>
    <t>7-1</t>
  </si>
  <si>
    <t>Amortización - Entidades Financieras</t>
  </si>
  <si>
    <t>7-2</t>
  </si>
  <si>
    <t>Intereses    - Entidades Financieras</t>
  </si>
  <si>
    <t>I</t>
  </si>
  <si>
    <t>TOTAL GASTOS DE INVERSIÓN</t>
  </si>
  <si>
    <t>GASTOS DE INVERSIÓN - RECURSOS PROPIOS</t>
  </si>
  <si>
    <t>221</t>
  </si>
  <si>
    <t>Adquisición y/o Producción de Equipos, Materiales, Suministros y Servicios Administrativos</t>
  </si>
  <si>
    <t>700</t>
  </si>
  <si>
    <t>Implantación de Modernización y Actualización del ICETEX</t>
  </si>
  <si>
    <t>310</t>
  </si>
  <si>
    <t>Divulgación, Asistencia Técnica y Capacitación del Recurso Humano</t>
  </si>
  <si>
    <t>709</t>
  </si>
  <si>
    <t>Asistencia a través de Créditos Condonables para Artistas Colombianos</t>
  </si>
  <si>
    <t>610</t>
  </si>
  <si>
    <t>CRÉDITOS</t>
  </si>
  <si>
    <t>100</t>
  </si>
  <si>
    <t>Capacitación en idiomas para aspirantes a estudios de postgrado en el exterior</t>
  </si>
  <si>
    <t>705</t>
  </si>
  <si>
    <t>15</t>
  </si>
  <si>
    <t>Implantación de Crédito Educativo para Estudios de Pregrado en el País, Postgrado en el País y en el Exterior</t>
  </si>
  <si>
    <t>21</t>
  </si>
  <si>
    <t>26</t>
  </si>
  <si>
    <t>Asistencia a través de Créditos Condonables de Reciprocidad para Extranjeros en Colombia</t>
  </si>
  <si>
    <t>APORTES DE LA NACIÓN</t>
  </si>
  <si>
    <t>GASTOS DE INVERSIÓN - APORTE NACIONAL</t>
  </si>
  <si>
    <t>300</t>
  </si>
  <si>
    <t>10</t>
  </si>
  <si>
    <t>Crédito educativo para sostenimiento dirigido a profesionales que cursen especializaciones en el area de la salud</t>
  </si>
  <si>
    <t>18</t>
  </si>
  <si>
    <t>Implantación apoyo a Mejores Bachilleres del País Art 99 Ley 115 de 1994</t>
  </si>
  <si>
    <t>19</t>
  </si>
  <si>
    <t>Crédito a nivel nacional a traves del sector financiero, Convenio ICETEX - Fondo Nacional del Tesoro</t>
  </si>
  <si>
    <t>27</t>
  </si>
  <si>
    <t>Asistencia a Comunidades Indígenas a través del Fondo de Créditos Condonables Alvaro Ulcue</t>
  </si>
  <si>
    <t>28</t>
  </si>
  <si>
    <t>Asistencia a Comunidades Negras a través de Créditos Condonables para Estudio de Pregrado y Postgrado en el País</t>
  </si>
  <si>
    <t>RESUMEN</t>
  </si>
  <si>
    <t>TOTAL RECURSOS ADMINISTRADOS</t>
  </si>
  <si>
    <t>TOTAL APORTES DE LA NACIÓN</t>
  </si>
  <si>
    <t>TOTAL PRESUPUESTO DE GASTOS</t>
  </si>
  <si>
    <t>Sección: 2203</t>
  </si>
  <si>
    <t xml:space="preserve">VIGENCIA  2001 </t>
  </si>
  <si>
    <t>PAC</t>
  </si>
  <si>
    <t>SALDO PAC</t>
  </si>
  <si>
    <t>NU AR</t>
  </si>
  <si>
    <t>ORDIN</t>
  </si>
  <si>
    <t>SUBOR</t>
  </si>
  <si>
    <t>DISTRI</t>
  </si>
  <si>
    <t>APROBADO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</si>
  <si>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</si>
  <si>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</si>
  <si>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</si>
  <si>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</si>
  <si>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</si>
  <si>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</si>
  <si>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</si>
  <si>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</si>
  <si>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</si>
  <si>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</si>
  <si>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</si>
  <si>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</si>
  <si>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ADICION</t>
  </si>
  <si>
    <t>REDUCCION</t>
  </si>
  <si>
    <r>
      <t>(4=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2+3)</t>
    </r>
  </si>
  <si>
    <r>
      <t>(6=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5)</t>
    </r>
  </si>
  <si>
    <t>(7=6-4)</t>
  </si>
  <si>
    <t xml:space="preserve"> GASTOS DE FUNCIONAMIENTO</t>
  </si>
  <si>
    <t/>
  </si>
  <si>
    <t xml:space="preserve">  SERVICIOS PERSONALES</t>
  </si>
  <si>
    <t xml:space="preserve">  GASTOS GENERALES</t>
  </si>
  <si>
    <t xml:space="preserve">  TRANSFERENCIAS</t>
  </si>
  <si>
    <t xml:space="preserve">  SERVICIO DE LA DEUDA</t>
  </si>
  <si>
    <t xml:space="preserve"> GASTOS DE INVERSION</t>
  </si>
  <si>
    <t>TOTAL GASTOS RECURSOS ADMINISTRADOS</t>
  </si>
  <si>
    <t>RECURSOS DE LA NACION</t>
  </si>
  <si>
    <t>RESERVAS PRESUPUESTALES Y CUENTAS POR PAGAR 2000</t>
  </si>
  <si>
    <t>Modificaciones (2)</t>
  </si>
  <si>
    <t>Cancelaciones</t>
  </si>
  <si>
    <t>520</t>
  </si>
  <si>
    <t>Administración, Control y Organización Institucional para Apoyo a la Administración del Estado</t>
  </si>
  <si>
    <t>001</t>
  </si>
  <si>
    <t>Implantación de un Plan de Modernización del ICETEX</t>
  </si>
  <si>
    <t>º</t>
  </si>
  <si>
    <t>Modificaciones</t>
  </si>
  <si>
    <t>(7=3-4)</t>
  </si>
  <si>
    <t>11</t>
  </si>
  <si>
    <t>6</t>
  </si>
  <si>
    <t>Crédito a nivel nacional a travez del sector financiero, Convenio ICETEX - Fondo Nacional del Tesoro</t>
  </si>
  <si>
    <t>CONTRALORIA DELEGADA PARA EL SECTOR SOCIAL</t>
  </si>
  <si>
    <t>DIRECCION DE VIGILANCIA FISCAL</t>
  </si>
  <si>
    <t>ENTIDAD:  2203  ICETEX</t>
  </si>
  <si>
    <t>AÑO:2001</t>
  </si>
  <si>
    <t>MESES</t>
  </si>
  <si>
    <t>ADQUISICION DE BIENES Y SERVICIOS</t>
  </si>
  <si>
    <t>VIATICOS Y GASTOS DE VIAJE</t>
  </si>
  <si>
    <t xml:space="preserve"> GASTOS DE PUBLICIDAD</t>
  </si>
  <si>
    <t>GASTOS DE PERSONAL</t>
  </si>
  <si>
    <t>OBSERVACIONES</t>
  </si>
  <si>
    <t xml:space="preserve">Enero </t>
  </si>
  <si>
    <t xml:space="preserve">TOTAL </t>
  </si>
  <si>
    <t>COMPROMISOS  / CUMPLIMIENTO LEY 617/2000</t>
  </si>
  <si>
    <t>MES: Enero - Diciembre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</si>
</sst>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;;"/>
    <numFmt numFmtId="179" formatCode="dd\-mmm\-yy_)"/>
    <numFmt numFmtId="180" formatCode="dd\-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Courier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8"/>
      <name val="Symbol"/>
      <family val="1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>
      <alignment/>
      <protection locked="0"/>
    </xf>
    <xf numFmtId="178" fontId="4" fillId="0" borderId="0">
      <alignment/>
      <protection locked="0"/>
    </xf>
    <xf numFmtId="178" fontId="5" fillId="0" borderId="0">
      <alignment/>
      <protection locked="0"/>
    </xf>
    <xf numFmtId="178" fontId="4" fillId="0" borderId="0">
      <alignment/>
      <protection locked="0"/>
    </xf>
    <xf numFmtId="178" fontId="4" fillId="0" borderId="0">
      <alignment/>
      <protection locked="0"/>
    </xf>
    <xf numFmtId="178" fontId="4" fillId="0" borderId="0">
      <alignment/>
      <protection locked="0"/>
    </xf>
    <xf numFmtId="178" fontId="5" fillId="0" borderId="0">
      <alignment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37" fontId="7" fillId="2" borderId="1" xfId="30" applyFont="1" applyFill="1" applyBorder="1" applyAlignment="1" applyProtection="1">
      <alignment horizontal="center" vertical="center"/>
      <protection locked="0"/>
    </xf>
    <xf numFmtId="37" fontId="7" fillId="2" borderId="2" xfId="30" applyFont="1" applyFill="1" applyBorder="1" applyAlignment="1" applyProtection="1">
      <alignment horizontal="center" vertical="center"/>
      <protection locked="0"/>
    </xf>
    <xf numFmtId="37" fontId="0" fillId="0" borderId="0" xfId="29" applyFont="1" applyFill="1" applyBorder="1" applyAlignment="1">
      <alignment vertical="center"/>
      <protection/>
    </xf>
    <xf numFmtId="37" fontId="9" fillId="0" borderId="3" xfId="29" applyFont="1" applyFill="1" applyBorder="1" applyAlignment="1" applyProtection="1">
      <alignment horizontal="centerContinuous" vertical="center"/>
      <protection/>
    </xf>
    <xf numFmtId="37" fontId="1" fillId="0" borderId="4" xfId="29" applyFont="1" applyFill="1" applyBorder="1" applyAlignment="1">
      <alignment horizontal="centerContinuous" vertical="center"/>
      <protection/>
    </xf>
    <xf numFmtId="37" fontId="1" fillId="0" borderId="5" xfId="29" applyFont="1" applyFill="1" applyBorder="1" applyAlignment="1">
      <alignment horizontal="centerContinuous" vertical="center"/>
      <protection/>
    </xf>
    <xf numFmtId="37" fontId="7" fillId="0" borderId="3" xfId="29" applyFont="1" applyFill="1" applyBorder="1" applyAlignment="1" applyProtection="1">
      <alignment vertical="center"/>
      <protection/>
    </xf>
    <xf numFmtId="37" fontId="1" fillId="0" borderId="4" xfId="29" applyFont="1" applyFill="1" applyBorder="1" applyAlignment="1" applyProtection="1">
      <alignment horizontal="left" vertical="center"/>
      <protection/>
    </xf>
    <xf numFmtId="37" fontId="7" fillId="0" borderId="4" xfId="29" applyFont="1" applyFill="1" applyBorder="1" applyAlignment="1" applyProtection="1">
      <alignment vertical="center"/>
      <protection/>
    </xf>
    <xf numFmtId="37" fontId="7" fillId="0" borderId="0" xfId="29" applyFont="1" applyFill="1" applyBorder="1" applyAlignment="1">
      <alignment vertical="center"/>
      <protection/>
    </xf>
    <xf numFmtId="37" fontId="7" fillId="0" borderId="6" xfId="29" applyFont="1" applyFill="1" applyBorder="1" applyAlignment="1" applyProtection="1">
      <alignment horizontal="center" vertical="center"/>
      <protection/>
    </xf>
    <xf numFmtId="37" fontId="7" fillId="0" borderId="7" xfId="29" applyFont="1" applyFill="1" applyBorder="1" applyAlignment="1" applyProtection="1">
      <alignment vertical="center"/>
      <protection/>
    </xf>
    <xf numFmtId="37" fontId="7" fillId="0" borderId="8" xfId="29" applyFont="1" applyFill="1" applyBorder="1" applyAlignment="1" applyProtection="1">
      <alignment vertical="center"/>
      <protection/>
    </xf>
    <xf numFmtId="37" fontId="7" fillId="0" borderId="7" xfId="29" applyFont="1" applyFill="1" applyBorder="1" applyAlignment="1" applyProtection="1">
      <alignment vertical="center"/>
      <protection locked="0"/>
    </xf>
    <xf numFmtId="37" fontId="10" fillId="0" borderId="7" xfId="29" applyFont="1" applyFill="1" applyBorder="1" applyAlignment="1" applyProtection="1">
      <alignment vertical="center"/>
      <protection locked="0"/>
    </xf>
    <xf numFmtId="37" fontId="7" fillId="0" borderId="9" xfId="29" applyFont="1" applyFill="1" applyBorder="1" applyAlignment="1" applyProtection="1">
      <alignment vertical="center"/>
      <protection/>
    </xf>
    <xf numFmtId="37" fontId="7" fillId="0" borderId="10" xfId="29" applyFont="1" applyFill="1" applyBorder="1" applyAlignment="1" applyProtection="1">
      <alignment vertical="center"/>
      <protection/>
    </xf>
    <xf numFmtId="37" fontId="7" fillId="0" borderId="5" xfId="29" applyFont="1" applyFill="1" applyBorder="1" applyAlignment="1" applyProtection="1">
      <alignment horizontal="right" vertical="center"/>
      <protection/>
    </xf>
    <xf numFmtId="37" fontId="9" fillId="0" borderId="9" xfId="29" applyFont="1" applyFill="1" applyBorder="1" applyAlignment="1" applyProtection="1">
      <alignment vertical="center"/>
      <protection/>
    </xf>
    <xf numFmtId="37" fontId="9" fillId="0" borderId="10" xfId="29" applyFont="1" applyFill="1" applyBorder="1" applyAlignment="1" applyProtection="1">
      <alignment vertical="center"/>
      <protection/>
    </xf>
    <xf numFmtId="37" fontId="7" fillId="0" borderId="11" xfId="29" applyFont="1" applyFill="1" applyBorder="1" applyAlignment="1" applyProtection="1">
      <alignment horizontal="center" vertical="center"/>
      <protection/>
    </xf>
    <xf numFmtId="37" fontId="10" fillId="0" borderId="9" xfId="29" applyFont="1" applyFill="1" applyBorder="1" applyAlignment="1" applyProtection="1">
      <alignment vertical="center"/>
      <protection locked="0"/>
    </xf>
    <xf numFmtId="37" fontId="9" fillId="0" borderId="7" xfId="29" applyFont="1" applyFill="1" applyBorder="1" applyAlignment="1" applyProtection="1">
      <alignment vertical="center"/>
      <protection/>
    </xf>
    <xf numFmtId="37" fontId="9" fillId="3" borderId="12" xfId="29" applyFont="1" applyFill="1" applyBorder="1" applyAlignment="1" applyProtection="1">
      <alignment vertical="center"/>
      <protection/>
    </xf>
    <xf numFmtId="37" fontId="9" fillId="4" borderId="13" xfId="29" applyFont="1" applyFill="1" applyBorder="1" applyAlignment="1" applyProtection="1">
      <alignment vertical="center"/>
      <protection/>
    </xf>
    <xf numFmtId="37" fontId="9" fillId="4" borderId="14" xfId="29" applyFont="1" applyFill="1" applyBorder="1" applyAlignment="1" applyProtection="1">
      <alignment vertical="center"/>
      <protection/>
    </xf>
    <xf numFmtId="37" fontId="9" fillId="0" borderId="15" xfId="29" applyFont="1" applyFill="1" applyBorder="1" applyAlignment="1" applyProtection="1">
      <alignment horizontal="centerContinuous" vertical="center"/>
      <protection/>
    </xf>
    <xf numFmtId="37" fontId="1" fillId="0" borderId="16" xfId="29" applyFont="1" applyFill="1" applyBorder="1" applyAlignment="1">
      <alignment horizontal="centerContinuous" vertical="center"/>
      <protection/>
    </xf>
    <xf numFmtId="37" fontId="1" fillId="0" borderId="17" xfId="29" applyFont="1" applyFill="1" applyBorder="1" applyAlignment="1">
      <alignment horizontal="centerContinuous" vertical="center"/>
      <protection/>
    </xf>
    <xf numFmtId="37" fontId="7" fillId="0" borderId="15" xfId="29" applyFont="1" applyFill="1" applyBorder="1" applyAlignment="1" applyProtection="1">
      <alignment vertical="center"/>
      <protection/>
    </xf>
    <xf numFmtId="37" fontId="0" fillId="0" borderId="16" xfId="29" applyFont="1" applyFill="1" applyBorder="1" applyAlignment="1" applyProtection="1">
      <alignment horizontal="left" vertical="center"/>
      <protection/>
    </xf>
    <xf numFmtId="37" fontId="7" fillId="0" borderId="16" xfId="29" applyFont="1" applyFill="1" applyBorder="1" applyAlignment="1" applyProtection="1">
      <alignment vertical="center"/>
      <protection/>
    </xf>
    <xf numFmtId="37" fontId="7" fillId="0" borderId="17" xfId="29" applyFont="1" applyFill="1" applyBorder="1" applyAlignment="1" applyProtection="1">
      <alignment horizontal="right" vertical="center"/>
      <protection/>
    </xf>
    <xf numFmtId="37" fontId="9" fillId="3" borderId="18" xfId="29" applyFont="1" applyFill="1" applyBorder="1" applyAlignment="1" applyProtection="1">
      <alignment horizontal="center" vertical="center"/>
      <protection/>
    </xf>
    <xf numFmtId="37" fontId="9" fillId="3" borderId="19" xfId="29" applyFont="1" applyFill="1" applyBorder="1" applyAlignment="1" applyProtection="1">
      <alignment vertical="center"/>
      <protection/>
    </xf>
    <xf numFmtId="37" fontId="7" fillId="0" borderId="0" xfId="28" applyFont="1" applyFill="1" applyBorder="1" applyAlignment="1" applyProtection="1">
      <alignment vertical="center"/>
      <protection/>
    </xf>
    <xf numFmtId="49" fontId="9" fillId="0" borderId="0" xfId="28" applyNumberFormat="1" applyFont="1" applyFill="1" applyBorder="1" applyAlignment="1" applyProtection="1">
      <alignment horizontal="center" vertical="center"/>
      <protection/>
    </xf>
    <xf numFmtId="49" fontId="7" fillId="0" borderId="0" xfId="28" applyNumberFormat="1" applyFont="1" applyFill="1" applyBorder="1" applyAlignment="1" applyProtection="1">
      <alignment horizontal="center" vertical="center"/>
      <protection/>
    </xf>
    <xf numFmtId="37" fontId="7" fillId="0" borderId="0" xfId="28" applyFont="1" applyFill="1" applyBorder="1" applyAlignment="1" applyProtection="1">
      <alignment vertical="center" wrapText="1"/>
      <protection/>
    </xf>
    <xf numFmtId="37" fontId="7" fillId="0" borderId="0" xfId="28" applyFont="1" applyFill="1" applyBorder="1" applyAlignment="1" applyProtection="1">
      <alignment vertical="center"/>
      <protection locked="0"/>
    </xf>
    <xf numFmtId="37" fontId="7" fillId="3" borderId="20" xfId="29" applyFont="1" applyFill="1" applyBorder="1" applyAlignment="1" applyProtection="1">
      <alignment horizontal="center" vertical="center"/>
      <protection/>
    </xf>
    <xf numFmtId="37" fontId="7" fillId="3" borderId="21" xfId="29" applyFont="1" applyFill="1" applyBorder="1" applyAlignment="1" applyProtection="1">
      <alignment vertical="center"/>
      <protection/>
    </xf>
    <xf numFmtId="37" fontId="7" fillId="3" borderId="22" xfId="29" applyFont="1" applyFill="1" applyBorder="1" applyAlignment="1" applyProtection="1">
      <alignment vertical="center"/>
      <protection/>
    </xf>
    <xf numFmtId="37" fontId="11" fillId="5" borderId="23" xfId="29" applyFont="1" applyFill="1" applyBorder="1" applyAlignment="1">
      <alignment horizontal="center" vertical="center"/>
      <protection/>
    </xf>
    <xf numFmtId="37" fontId="11" fillId="5" borderId="24" xfId="29" applyFont="1" applyFill="1" applyBorder="1" applyAlignment="1">
      <alignment horizontal="center" vertical="center"/>
      <protection/>
    </xf>
    <xf numFmtId="37" fontId="11" fillId="5" borderId="24" xfId="29" applyFont="1" applyFill="1" applyBorder="1" applyAlignment="1" applyProtection="1">
      <alignment horizontal="center" vertical="center"/>
      <protection/>
    </xf>
    <xf numFmtId="37" fontId="11" fillId="5" borderId="25" xfId="29" applyFont="1" applyFill="1" applyBorder="1" applyAlignment="1" applyProtection="1">
      <alignment horizontal="center" vertical="center"/>
      <protection/>
    </xf>
    <xf numFmtId="37" fontId="11" fillId="5" borderId="6" xfId="29" applyFont="1" applyFill="1" applyBorder="1" applyAlignment="1" applyProtection="1">
      <alignment horizontal="center" vertical="center"/>
      <protection/>
    </xf>
    <xf numFmtId="37" fontId="11" fillId="5" borderId="7" xfId="29" applyFont="1" applyFill="1" applyBorder="1" applyAlignment="1" applyProtection="1">
      <alignment horizontal="center" vertical="center"/>
      <protection/>
    </xf>
    <xf numFmtId="37" fontId="11" fillId="5" borderId="8" xfId="29" applyFont="1" applyFill="1" applyBorder="1" applyAlignment="1">
      <alignment horizontal="center" vertical="center"/>
      <protection/>
    </xf>
    <xf numFmtId="37" fontId="11" fillId="5" borderId="11" xfId="29" applyFont="1" applyFill="1" applyBorder="1" applyAlignment="1">
      <alignment horizontal="center" vertical="center"/>
      <protection/>
    </xf>
    <xf numFmtId="37" fontId="11" fillId="5" borderId="9" xfId="29" applyFont="1" applyFill="1" applyBorder="1" applyAlignment="1">
      <alignment horizontal="center" vertical="center"/>
      <protection/>
    </xf>
    <xf numFmtId="49" fontId="11" fillId="5" borderId="9" xfId="29" applyNumberFormat="1" applyFont="1" applyFill="1" applyBorder="1" applyAlignment="1" applyProtection="1">
      <alignment horizontal="center" vertical="center"/>
      <protection/>
    </xf>
    <xf numFmtId="49" fontId="11" fillId="5" borderId="10" xfId="29" applyNumberFormat="1" applyFont="1" applyFill="1" applyBorder="1" applyAlignment="1" applyProtection="1">
      <alignment horizontal="center" vertical="center"/>
      <protection/>
    </xf>
    <xf numFmtId="37" fontId="9" fillId="4" borderId="26" xfId="29" applyFont="1" applyFill="1" applyBorder="1" applyAlignment="1" applyProtection="1">
      <alignment horizontal="center" vertical="center"/>
      <protection/>
    </xf>
    <xf numFmtId="37" fontId="9" fillId="4" borderId="27" xfId="29" applyFont="1" applyFill="1" applyBorder="1" applyAlignment="1" applyProtection="1">
      <alignment vertical="center"/>
      <protection/>
    </xf>
    <xf numFmtId="37" fontId="9" fillId="4" borderId="28" xfId="29" applyFont="1" applyFill="1" applyBorder="1" applyAlignment="1" applyProtection="1">
      <alignment vertical="center"/>
      <protection/>
    </xf>
    <xf numFmtId="37" fontId="7" fillId="2" borderId="15" xfId="29" applyFont="1" applyFill="1" applyBorder="1" applyAlignment="1" applyProtection="1">
      <alignment vertical="center"/>
      <protection/>
    </xf>
    <xf numFmtId="37" fontId="0" fillId="2" borderId="16" xfId="29" applyFont="1" applyFill="1" applyBorder="1" applyAlignment="1" applyProtection="1">
      <alignment horizontal="left" vertical="center"/>
      <protection/>
    </xf>
    <xf numFmtId="37" fontId="7" fillId="2" borderId="16" xfId="29" applyFont="1" applyFill="1" applyBorder="1" applyAlignment="1" applyProtection="1">
      <alignment vertical="center"/>
      <protection/>
    </xf>
    <xf numFmtId="37" fontId="7" fillId="2" borderId="3" xfId="29" applyFont="1" applyFill="1" applyBorder="1" applyAlignment="1" applyProtection="1">
      <alignment vertical="center"/>
      <protection/>
    </xf>
    <xf numFmtId="37" fontId="1" fillId="2" borderId="4" xfId="29" applyFont="1" applyFill="1" applyBorder="1" applyAlignment="1" applyProtection="1">
      <alignment horizontal="left" vertical="center"/>
      <protection/>
    </xf>
    <xf numFmtId="37" fontId="7" fillId="2" borderId="4" xfId="29" applyFont="1" applyFill="1" applyBorder="1" applyAlignment="1" applyProtection="1">
      <alignment vertical="center"/>
      <protection/>
    </xf>
    <xf numFmtId="37" fontId="11" fillId="5" borderId="13" xfId="29" applyFont="1" applyFill="1" applyBorder="1" applyAlignment="1" applyProtection="1">
      <alignment horizontal="centerContinuous" vertical="center"/>
      <protection/>
    </xf>
    <xf numFmtId="37" fontId="11" fillId="5" borderId="25" xfId="29" applyFont="1" applyFill="1" applyBorder="1" applyAlignment="1">
      <alignment horizontal="center" vertical="center"/>
      <protection/>
    </xf>
    <xf numFmtId="37" fontId="8" fillId="5" borderId="8" xfId="29" applyFont="1" applyFill="1" applyBorder="1" applyAlignment="1" applyProtection="1">
      <alignment horizontal="center" vertical="center" wrapText="1"/>
      <protection/>
    </xf>
    <xf numFmtId="37" fontId="11" fillId="5" borderId="10" xfId="29" applyFont="1" applyFill="1" applyBorder="1" applyAlignment="1">
      <alignment horizontal="center" vertical="center"/>
      <protection/>
    </xf>
    <xf numFmtId="37" fontId="11" fillId="5" borderId="23" xfId="29" applyFont="1" applyFill="1" applyBorder="1" applyAlignment="1" applyProtection="1">
      <alignment horizontal="center" vertical="center"/>
      <protection/>
    </xf>
    <xf numFmtId="37" fontId="11" fillId="5" borderId="8" xfId="29" applyFont="1" applyFill="1" applyBorder="1" applyAlignment="1" applyProtection="1">
      <alignment horizontal="center" vertical="center"/>
      <protection/>
    </xf>
    <xf numFmtId="49" fontId="11" fillId="5" borderId="11" xfId="29" applyNumberFormat="1" applyFont="1" applyFill="1" applyBorder="1" applyAlignment="1" applyProtection="1">
      <alignment horizontal="center" vertical="center"/>
      <protection/>
    </xf>
    <xf numFmtId="37" fontId="9" fillId="4" borderId="26" xfId="29" applyFont="1" applyFill="1" applyBorder="1" applyAlignment="1" applyProtection="1">
      <alignment vertical="center"/>
      <protection/>
    </xf>
    <xf numFmtId="37" fontId="7" fillId="3" borderId="20" xfId="29" applyFont="1" applyFill="1" applyBorder="1" applyAlignment="1" applyProtection="1">
      <alignment vertical="center"/>
      <protection/>
    </xf>
    <xf numFmtId="37" fontId="9" fillId="3" borderId="22" xfId="29" applyFont="1" applyFill="1" applyBorder="1" applyAlignment="1" applyProtection="1">
      <alignment vertical="center"/>
      <protection/>
    </xf>
    <xf numFmtId="37" fontId="7" fillId="0" borderId="6" xfId="29" applyFont="1" applyFill="1" applyBorder="1" applyAlignment="1" applyProtection="1">
      <alignment vertical="center"/>
      <protection/>
    </xf>
    <xf numFmtId="37" fontId="9" fillId="0" borderId="8" xfId="29" applyFont="1" applyFill="1" applyBorder="1" applyAlignment="1" applyProtection="1">
      <alignment vertical="center"/>
      <protection/>
    </xf>
    <xf numFmtId="37" fontId="7" fillId="0" borderId="6" xfId="29" applyFont="1" applyFill="1" applyBorder="1" applyAlignment="1" applyProtection="1">
      <alignment vertical="center"/>
      <protection locked="0"/>
    </xf>
    <xf numFmtId="37" fontId="9" fillId="3" borderId="18" xfId="29" applyFont="1" applyFill="1" applyBorder="1" applyAlignment="1" applyProtection="1">
      <alignment vertical="center"/>
      <protection/>
    </xf>
    <xf numFmtId="37" fontId="7" fillId="0" borderId="11" xfId="29" applyFont="1" applyFill="1" applyBorder="1" applyAlignment="1" applyProtection="1">
      <alignment vertical="center"/>
      <protection locked="0"/>
    </xf>
    <xf numFmtId="37" fontId="10" fillId="0" borderId="6" xfId="29" applyFont="1" applyFill="1" applyBorder="1" applyAlignment="1" applyProtection="1">
      <alignment vertical="center"/>
      <protection locked="0"/>
    </xf>
    <xf numFmtId="37" fontId="10" fillId="0" borderId="11" xfId="29" applyFont="1" applyFill="1" applyBorder="1" applyAlignment="1" applyProtection="1">
      <alignment vertical="center"/>
      <protection locked="0"/>
    </xf>
    <xf numFmtId="37" fontId="9" fillId="4" borderId="29" xfId="29" applyFont="1" applyFill="1" applyBorder="1" applyAlignment="1" applyProtection="1">
      <alignment vertical="center"/>
      <protection/>
    </xf>
    <xf numFmtId="37" fontId="9" fillId="0" borderId="8" xfId="29" applyFont="1" applyFill="1" applyBorder="1" applyAlignment="1" applyProtection="1">
      <alignment vertical="center"/>
      <protection locked="0"/>
    </xf>
    <xf numFmtId="37" fontId="9" fillId="3" borderId="19" xfId="29" applyFont="1" applyFill="1" applyBorder="1" applyAlignment="1" applyProtection="1">
      <alignment vertical="center"/>
      <protection locked="0"/>
    </xf>
    <xf numFmtId="37" fontId="9" fillId="0" borderId="10" xfId="29" applyFont="1" applyFill="1" applyBorder="1" applyAlignment="1" applyProtection="1">
      <alignment vertical="center"/>
      <protection locked="0"/>
    </xf>
    <xf numFmtId="37" fontId="9" fillId="4" borderId="28" xfId="29" applyFont="1" applyFill="1" applyBorder="1" applyAlignment="1" applyProtection="1">
      <alignment vertical="center"/>
      <protection locked="0"/>
    </xf>
    <xf numFmtId="37" fontId="7" fillId="2" borderId="17" xfId="29" applyFont="1" applyFill="1" applyBorder="1" applyAlignment="1" applyProtection="1">
      <alignment horizontal="right" vertical="center"/>
      <protection/>
    </xf>
    <xf numFmtId="37" fontId="7" fillId="2" borderId="5" xfId="29" applyFont="1" applyFill="1" applyBorder="1" applyAlignment="1" applyProtection="1">
      <alignment horizontal="right" vertical="center"/>
      <protection/>
    </xf>
    <xf numFmtId="37" fontId="9" fillId="0" borderId="23" xfId="29" applyFont="1" applyFill="1" applyBorder="1" applyAlignment="1">
      <alignment horizontal="center" vertical="center"/>
      <protection/>
    </xf>
    <xf numFmtId="37" fontId="9" fillId="0" borderId="30" xfId="29" applyFont="1" applyFill="1" applyBorder="1" applyAlignment="1">
      <alignment horizontal="center" vertical="center"/>
      <protection/>
    </xf>
    <xf numFmtId="49" fontId="9" fillId="0" borderId="11" xfId="29" applyNumberFormat="1" applyFont="1" applyFill="1" applyBorder="1" applyAlignment="1">
      <alignment horizontal="center" vertical="center"/>
      <protection/>
    </xf>
    <xf numFmtId="49" fontId="9" fillId="0" borderId="31" xfId="29" applyNumberFormat="1" applyFont="1" applyFill="1" applyBorder="1" applyAlignment="1">
      <alignment horizontal="center" vertical="center"/>
      <protection/>
    </xf>
    <xf numFmtId="49" fontId="9" fillId="0" borderId="15" xfId="28" applyNumberFormat="1" applyFont="1" applyFill="1" applyBorder="1" applyAlignment="1" applyProtection="1">
      <alignment horizontal="centerContinuous" vertical="center"/>
      <protection/>
    </xf>
    <xf numFmtId="37" fontId="7" fillId="0" borderId="17" xfId="28" applyFont="1" applyFill="1" applyBorder="1" applyAlignment="1" applyProtection="1">
      <alignment horizontal="centerContinuous" vertical="center" wrapText="1"/>
      <protection/>
    </xf>
    <xf numFmtId="49" fontId="9" fillId="0" borderId="3" xfId="28" applyNumberFormat="1" applyFont="1" applyFill="1" applyBorder="1" applyAlignment="1" applyProtection="1">
      <alignment horizontal="centerContinuous" vertical="center"/>
      <protection/>
    </xf>
    <xf numFmtId="37" fontId="7" fillId="0" borderId="5" xfId="28" applyFont="1" applyFill="1" applyBorder="1" applyAlignment="1" applyProtection="1">
      <alignment horizontal="centerContinuous" vertical="center" wrapText="1"/>
      <protection/>
    </xf>
    <xf numFmtId="37" fontId="7" fillId="0" borderId="17" xfId="28" applyFont="1" applyFill="1" applyBorder="1" applyAlignment="1" applyProtection="1">
      <alignment horizontal="right" vertical="center"/>
      <protection/>
    </xf>
    <xf numFmtId="37" fontId="7" fillId="0" borderId="5" xfId="28" applyFont="1" applyFill="1" applyBorder="1" applyAlignment="1" applyProtection="1">
      <alignment horizontal="right" vertical="center"/>
      <protection/>
    </xf>
    <xf numFmtId="37" fontId="0" fillId="0" borderId="0" xfId="28" applyFont="1" applyFill="1" applyBorder="1" applyAlignment="1" applyProtection="1">
      <alignment vertical="center"/>
      <protection/>
    </xf>
    <xf numFmtId="37" fontId="1" fillId="0" borderId="0" xfId="28" applyFont="1" applyFill="1" applyBorder="1" applyAlignment="1" applyProtection="1">
      <alignment horizontal="centerContinuous" vertical="center"/>
      <protection/>
    </xf>
    <xf numFmtId="49" fontId="1" fillId="0" borderId="0" xfId="28" applyNumberFormat="1" applyFont="1" applyFill="1" applyBorder="1" applyAlignment="1" applyProtection="1">
      <alignment horizontal="centerContinuous" vertical="center"/>
      <protection/>
    </xf>
    <xf numFmtId="49" fontId="0" fillId="0" borderId="0" xfId="28" applyNumberFormat="1" applyFont="1" applyFill="1" applyBorder="1" applyAlignment="1" applyProtection="1">
      <alignment horizontal="center" vertical="center"/>
      <protection/>
    </xf>
    <xf numFmtId="37" fontId="1" fillId="0" borderId="0" xfId="28" applyFont="1" applyFill="1" applyBorder="1" applyAlignment="1" applyProtection="1">
      <alignment vertical="center"/>
      <protection/>
    </xf>
    <xf numFmtId="37" fontId="0" fillId="0" borderId="0" xfId="28" applyFont="1" applyFill="1" applyBorder="1" applyAlignment="1" applyProtection="1">
      <alignment vertical="center" wrapText="1"/>
      <protection/>
    </xf>
    <xf numFmtId="37" fontId="0" fillId="0" borderId="0" xfId="28" applyFont="1" applyFill="1" applyBorder="1" applyAlignment="1" applyProtection="1">
      <alignment vertical="center"/>
      <protection locked="0"/>
    </xf>
    <xf numFmtId="37" fontId="1" fillId="0" borderId="0" xfId="28" applyFont="1" applyFill="1" applyBorder="1" applyAlignment="1" applyProtection="1">
      <alignment horizontal="centerContinuous" vertical="center" wrapText="1"/>
      <protection/>
    </xf>
    <xf numFmtId="37" fontId="1" fillId="0" borderId="0" xfId="28" applyFont="1" applyFill="1" applyBorder="1" applyAlignment="1" applyProtection="1">
      <alignment horizontal="centerContinuous" vertical="center"/>
      <protection locked="0"/>
    </xf>
    <xf numFmtId="49" fontId="1" fillId="0" borderId="16" xfId="28" applyNumberFormat="1" applyFont="1" applyFill="1" applyBorder="1" applyAlignment="1" applyProtection="1">
      <alignment horizontal="centerContinuous" vertical="center"/>
      <protection/>
    </xf>
    <xf numFmtId="49" fontId="1" fillId="0" borderId="4" xfId="28" applyNumberFormat="1" applyFont="1" applyFill="1" applyBorder="1" applyAlignment="1" applyProtection="1">
      <alignment horizontal="centerContinuous" vertical="center"/>
      <protection/>
    </xf>
    <xf numFmtId="37" fontId="0" fillId="0" borderId="15" xfId="28" applyFont="1" applyFill="1" applyBorder="1" applyAlignment="1" applyProtection="1">
      <alignment horizontal="left" vertical="center"/>
      <protection/>
    </xf>
    <xf numFmtId="37" fontId="0" fillId="0" borderId="16" xfId="28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/>
    </xf>
    <xf numFmtId="37" fontId="0" fillId="0" borderId="3" xfId="28" applyFont="1" applyFill="1" applyBorder="1" applyAlignment="1" applyProtection="1">
      <alignment horizontal="left" vertical="center"/>
      <protection/>
    </xf>
    <xf numFmtId="37" fontId="0" fillId="0" borderId="4" xfId="28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37" fontId="0" fillId="0" borderId="4" xfId="28" applyFont="1" applyFill="1" applyBorder="1" applyAlignment="1" applyProtection="1">
      <alignment vertical="center"/>
      <protection/>
    </xf>
    <xf numFmtId="0" fontId="0" fillId="0" borderId="4" xfId="0" applyFill="1" applyBorder="1" applyAlignment="1">
      <alignment/>
    </xf>
    <xf numFmtId="37" fontId="9" fillId="0" borderId="23" xfId="28" applyFont="1" applyFill="1" applyBorder="1" applyAlignment="1" applyProtection="1">
      <alignment horizontal="center" vertical="center"/>
      <protection/>
    </xf>
    <xf numFmtId="37" fontId="9" fillId="0" borderId="30" xfId="28" applyFont="1" applyFill="1" applyBorder="1" applyAlignment="1" applyProtection="1">
      <alignment horizontal="center" vertical="center"/>
      <protection/>
    </xf>
    <xf numFmtId="37" fontId="9" fillId="0" borderId="30" xfId="28" applyFont="1" applyFill="1" applyBorder="1" applyAlignment="1" applyProtection="1">
      <alignment horizontal="center" vertical="center"/>
      <protection locked="0"/>
    </xf>
    <xf numFmtId="49" fontId="1" fillId="0" borderId="11" xfId="28" applyNumberFormat="1" applyFont="1" applyFill="1" applyBorder="1" applyAlignment="1" applyProtection="1">
      <alignment horizontal="center" vertical="center"/>
      <protection/>
    </xf>
    <xf numFmtId="49" fontId="1" fillId="0" borderId="31" xfId="28" applyNumberFormat="1" applyFont="1" applyFill="1" applyBorder="1" applyAlignment="1" applyProtection="1">
      <alignment horizontal="center" vertical="center"/>
      <protection/>
    </xf>
    <xf numFmtId="49" fontId="1" fillId="0" borderId="31" xfId="28" applyNumberFormat="1" applyFont="1" applyFill="1" applyBorder="1" applyAlignment="1" applyProtection="1">
      <alignment horizontal="center" vertical="center"/>
      <protection locked="0"/>
    </xf>
    <xf numFmtId="49" fontId="9" fillId="6" borderId="32" xfId="28" applyNumberFormat="1" applyFont="1" applyFill="1" applyBorder="1" applyAlignment="1" applyProtection="1">
      <alignment horizontal="centerContinuous" vertical="center"/>
      <protection/>
    </xf>
    <xf numFmtId="49" fontId="9" fillId="6" borderId="33" xfId="28" applyNumberFormat="1" applyFont="1" applyFill="1" applyBorder="1" applyAlignment="1" applyProtection="1">
      <alignment horizontal="centerContinuous" vertical="center"/>
      <protection/>
    </xf>
    <xf numFmtId="37" fontId="9" fillId="6" borderId="33" xfId="28" applyFont="1" applyFill="1" applyBorder="1" applyAlignment="1" applyProtection="1">
      <alignment horizontal="centerContinuous" vertical="center" wrapText="1"/>
      <protection/>
    </xf>
    <xf numFmtId="37" fontId="9" fillId="6" borderId="33" xfId="28" applyFont="1" applyFill="1" applyBorder="1" applyAlignment="1" applyProtection="1">
      <alignment horizontal="centerContinuous" vertical="center"/>
      <protection/>
    </xf>
    <xf numFmtId="37" fontId="9" fillId="6" borderId="33" xfId="28" applyFont="1" applyFill="1" applyBorder="1" applyAlignment="1" applyProtection="1">
      <alignment horizontal="centerContinuous" vertical="center"/>
      <protection locked="0"/>
    </xf>
    <xf numFmtId="37" fontId="9" fillId="6" borderId="34" xfId="28" applyFont="1" applyFill="1" applyBorder="1" applyAlignment="1" applyProtection="1">
      <alignment horizontal="centerContinuous" vertical="center"/>
      <protection/>
    </xf>
    <xf numFmtId="49" fontId="7" fillId="0" borderId="7" xfId="28" applyNumberFormat="1" applyFont="1" applyFill="1" applyBorder="1" applyAlignment="1" applyProtection="1">
      <alignment horizontal="center" vertical="center"/>
      <protection/>
    </xf>
    <xf numFmtId="37" fontId="7" fillId="0" borderId="7" xfId="28" applyFont="1" applyFill="1" applyBorder="1" applyAlignment="1" applyProtection="1">
      <alignment vertical="center" wrapText="1"/>
      <protection/>
    </xf>
    <xf numFmtId="37" fontId="7" fillId="0" borderId="7" xfId="28" applyFont="1" applyFill="1" applyBorder="1" applyAlignment="1" applyProtection="1">
      <alignment vertical="center"/>
      <protection/>
    </xf>
    <xf numFmtId="37" fontId="7" fillId="0" borderId="7" xfId="28" applyFont="1" applyFill="1" applyBorder="1" applyAlignment="1" applyProtection="1">
      <alignment vertical="center"/>
      <protection locked="0"/>
    </xf>
    <xf numFmtId="49" fontId="7" fillId="0" borderId="7" xfId="28" applyNumberFormat="1" applyFont="1" applyFill="1" applyBorder="1" applyAlignment="1" applyProtection="1" quotePrefix="1">
      <alignment horizontal="center" vertical="center"/>
      <protection/>
    </xf>
    <xf numFmtId="37" fontId="7" fillId="0" borderId="7" xfId="28" applyFont="1" applyFill="1" applyBorder="1" applyAlignment="1" applyProtection="1" quotePrefix="1">
      <alignment horizontal="left" vertical="center" wrapText="1"/>
      <protection/>
    </xf>
    <xf numFmtId="49" fontId="7" fillId="0" borderId="6" xfId="28" applyNumberFormat="1" applyFont="1" applyFill="1" applyBorder="1" applyAlignment="1" applyProtection="1">
      <alignment horizontal="center" vertical="center"/>
      <protection/>
    </xf>
    <xf numFmtId="49" fontId="7" fillId="0" borderId="11" xfId="28" applyNumberFormat="1" applyFont="1" applyFill="1" applyBorder="1" applyAlignment="1" applyProtection="1">
      <alignment horizontal="center" vertical="center"/>
      <protection/>
    </xf>
    <xf numFmtId="49" fontId="7" fillId="0" borderId="9" xfId="28" applyNumberFormat="1" applyFont="1" applyFill="1" applyBorder="1" applyAlignment="1" applyProtection="1">
      <alignment horizontal="center" vertical="center"/>
      <protection/>
    </xf>
    <xf numFmtId="49" fontId="7" fillId="0" borderId="9" xfId="28" applyNumberFormat="1" applyFont="1" applyFill="1" applyBorder="1" applyAlignment="1" applyProtection="1" quotePrefix="1">
      <alignment horizontal="center" vertical="center"/>
      <protection/>
    </xf>
    <xf numFmtId="37" fontId="7" fillId="0" borderId="9" xfId="28" applyFont="1" applyFill="1" applyBorder="1" applyAlignment="1" applyProtection="1" quotePrefix="1">
      <alignment horizontal="left" vertical="center" wrapText="1"/>
      <protection/>
    </xf>
    <xf numFmtId="37" fontId="7" fillId="0" borderId="9" xfId="28" applyFont="1" applyFill="1" applyBorder="1" applyAlignment="1" applyProtection="1">
      <alignment vertical="center"/>
      <protection/>
    </xf>
    <xf numFmtId="37" fontId="7" fillId="0" borderId="9" xfId="28" applyFont="1" applyFill="1" applyBorder="1" applyAlignment="1" applyProtection="1">
      <alignment vertical="center"/>
      <protection locked="0"/>
    </xf>
    <xf numFmtId="49" fontId="11" fillId="5" borderId="26" xfId="28" applyNumberFormat="1" applyFont="1" applyFill="1" applyBorder="1" applyAlignment="1" applyProtection="1">
      <alignment horizontal="centerContinuous" vertical="center"/>
      <protection/>
    </xf>
    <xf numFmtId="49" fontId="11" fillId="5" borderId="27" xfId="28" applyNumberFormat="1" applyFont="1" applyFill="1" applyBorder="1" applyAlignment="1" applyProtection="1">
      <alignment horizontal="centerContinuous" vertical="center"/>
      <protection/>
    </xf>
    <xf numFmtId="37" fontId="11" fillId="5" borderId="17" xfId="28" applyFont="1" applyFill="1" applyBorder="1" applyAlignment="1" applyProtection="1">
      <alignment horizontal="center" vertical="center" wrapText="1"/>
      <protection/>
    </xf>
    <xf numFmtId="37" fontId="11" fillId="5" borderId="23" xfId="28" applyFont="1" applyFill="1" applyBorder="1" applyAlignment="1" applyProtection="1">
      <alignment horizontal="center" vertical="center"/>
      <protection/>
    </xf>
    <xf numFmtId="37" fontId="11" fillId="5" borderId="27" xfId="28" applyFont="1" applyFill="1" applyBorder="1" applyAlignment="1" applyProtection="1">
      <alignment horizontal="centerContinuous" vertical="center"/>
      <protection/>
    </xf>
    <xf numFmtId="37" fontId="11" fillId="5" borderId="25" xfId="28" applyFont="1" applyFill="1" applyBorder="1" applyAlignment="1" applyProtection="1">
      <alignment horizontal="center" vertical="center"/>
      <protection/>
    </xf>
    <xf numFmtId="37" fontId="11" fillId="5" borderId="30" xfId="28" applyFont="1" applyFill="1" applyBorder="1" applyAlignment="1" applyProtection="1">
      <alignment horizontal="center" vertical="center"/>
      <protection/>
    </xf>
    <xf numFmtId="37" fontId="11" fillId="5" borderId="30" xfId="28" applyFont="1" applyFill="1" applyBorder="1" applyAlignment="1" applyProtection="1">
      <alignment horizontal="center" vertical="center"/>
      <protection locked="0"/>
    </xf>
    <xf numFmtId="37" fontId="11" fillId="5" borderId="17" xfId="28" applyFont="1" applyFill="1" applyBorder="1" applyAlignment="1" applyProtection="1">
      <alignment horizontal="center" vertical="center"/>
      <protection/>
    </xf>
    <xf numFmtId="49" fontId="8" fillId="5" borderId="35" xfId="28" applyNumberFormat="1" applyFont="1" applyFill="1" applyBorder="1" applyAlignment="1" applyProtection="1">
      <alignment horizontal="center" vertical="center"/>
      <protection/>
    </xf>
    <xf numFmtId="49" fontId="8" fillId="5" borderId="36" xfId="28" applyNumberFormat="1" applyFont="1" applyFill="1" applyBorder="1" applyAlignment="1" applyProtection="1">
      <alignment horizontal="center" vertical="center"/>
      <protection/>
    </xf>
    <xf numFmtId="49" fontId="8" fillId="5" borderId="36" xfId="28" applyNumberFormat="1" applyFont="1" applyFill="1" applyBorder="1" applyAlignment="1" applyProtection="1" quotePrefix="1">
      <alignment horizontal="center" vertical="center"/>
      <protection/>
    </xf>
    <xf numFmtId="37" fontId="11" fillId="5" borderId="37" xfId="28" applyFont="1" applyFill="1" applyBorder="1" applyAlignment="1" applyProtection="1">
      <alignment horizontal="center" vertical="center" wrapText="1"/>
      <protection/>
    </xf>
    <xf numFmtId="37" fontId="11" fillId="5" borderId="6" xfId="28" applyFont="1" applyFill="1" applyBorder="1" applyAlignment="1" applyProtection="1">
      <alignment horizontal="center" vertical="center"/>
      <protection/>
    </xf>
    <xf numFmtId="37" fontId="11" fillId="5" borderId="12" xfId="28" applyFont="1" applyFill="1" applyBorder="1" applyAlignment="1" applyProtection="1">
      <alignment horizontal="centerContinuous" vertical="center"/>
      <protection/>
    </xf>
    <xf numFmtId="37" fontId="11" fillId="5" borderId="7" xfId="28" applyFont="1" applyFill="1" applyBorder="1" applyAlignment="1" applyProtection="1">
      <alignment horizontal="center" vertical="center"/>
      <protection/>
    </xf>
    <xf numFmtId="37" fontId="11" fillId="5" borderId="8" xfId="28" applyFont="1" applyFill="1" applyBorder="1" applyAlignment="1" applyProtection="1">
      <alignment horizontal="center" vertical="center"/>
      <protection/>
    </xf>
    <xf numFmtId="37" fontId="11" fillId="5" borderId="38" xfId="28" applyFont="1" applyFill="1" applyBorder="1" applyAlignment="1" applyProtection="1">
      <alignment horizontal="center" vertical="center"/>
      <protection/>
    </xf>
    <xf numFmtId="37" fontId="11" fillId="5" borderId="38" xfId="28" applyFont="1" applyFill="1" applyBorder="1" applyAlignment="1" applyProtection="1">
      <alignment horizontal="center" vertical="center"/>
      <protection locked="0"/>
    </xf>
    <xf numFmtId="37" fontId="11" fillId="5" borderId="37" xfId="28" applyFont="1" applyFill="1" applyBorder="1" applyAlignment="1" applyProtection="1">
      <alignment horizontal="center" vertical="center"/>
      <protection/>
    </xf>
    <xf numFmtId="49" fontId="8" fillId="5" borderId="11" xfId="28" applyNumberFormat="1" applyFont="1" applyFill="1" applyBorder="1" applyAlignment="1" applyProtection="1">
      <alignment horizontal="center" vertical="center"/>
      <protection/>
    </xf>
    <xf numFmtId="49" fontId="8" fillId="5" borderId="9" xfId="28" applyNumberFormat="1" applyFont="1" applyFill="1" applyBorder="1" applyAlignment="1" applyProtection="1">
      <alignment horizontal="center" vertical="center"/>
      <protection/>
    </xf>
    <xf numFmtId="49" fontId="11" fillId="5" borderId="5" xfId="28" applyNumberFormat="1" applyFont="1" applyFill="1" applyBorder="1" applyAlignment="1" applyProtection="1">
      <alignment horizontal="center" vertical="center" wrapText="1"/>
      <protection/>
    </xf>
    <xf numFmtId="49" fontId="11" fillId="5" borderId="11" xfId="28" applyNumberFormat="1" applyFont="1" applyFill="1" applyBorder="1" applyAlignment="1" applyProtection="1">
      <alignment horizontal="center" vertical="center"/>
      <protection/>
    </xf>
    <xf numFmtId="49" fontId="11" fillId="5" borderId="9" xfId="28" applyNumberFormat="1" applyFont="1" applyFill="1" applyBorder="1" applyAlignment="1" applyProtection="1">
      <alignment horizontal="center" vertical="center"/>
      <protection/>
    </xf>
    <xf numFmtId="49" fontId="11" fillId="5" borderId="10" xfId="28" applyNumberFormat="1" applyFont="1" applyFill="1" applyBorder="1" applyAlignment="1" applyProtection="1">
      <alignment horizontal="center" vertical="center"/>
      <protection/>
    </xf>
    <xf numFmtId="49" fontId="11" fillId="5" borderId="31" xfId="28" applyNumberFormat="1" applyFont="1" applyFill="1" applyBorder="1" applyAlignment="1" applyProtection="1">
      <alignment horizontal="center" vertical="center"/>
      <protection/>
    </xf>
    <xf numFmtId="49" fontId="11" fillId="5" borderId="31" xfId="28" applyNumberFormat="1" applyFont="1" applyFill="1" applyBorder="1" applyAlignment="1" applyProtection="1">
      <alignment horizontal="center" vertical="center"/>
      <protection locked="0"/>
    </xf>
    <xf numFmtId="49" fontId="11" fillId="5" borderId="5" xfId="28" applyNumberFormat="1" applyFont="1" applyFill="1" applyBorder="1" applyAlignment="1" applyProtection="1">
      <alignment horizontal="center" vertical="center"/>
      <protection/>
    </xf>
    <xf numFmtId="37" fontId="11" fillId="5" borderId="7" xfId="28" applyFont="1" applyFill="1" applyBorder="1" applyAlignment="1" applyProtection="1">
      <alignment horizontal="center" vertical="center"/>
      <protection locked="0"/>
    </xf>
    <xf numFmtId="37" fontId="11" fillId="5" borderId="24" xfId="28" applyFont="1" applyFill="1" applyBorder="1" applyAlignment="1" applyProtection="1">
      <alignment horizontal="center" vertical="center"/>
      <protection/>
    </xf>
    <xf numFmtId="37" fontId="11" fillId="5" borderId="24" xfId="28" applyFont="1" applyFill="1" applyBorder="1" applyAlignment="1" applyProtection="1">
      <alignment horizontal="center" vertical="center"/>
      <protection locked="0"/>
    </xf>
    <xf numFmtId="49" fontId="11" fillId="5" borderId="9" xfId="28" applyNumberFormat="1" applyFont="1" applyFill="1" applyBorder="1" applyAlignment="1" applyProtection="1">
      <alignment horizontal="center" vertical="center"/>
      <protection locked="0"/>
    </xf>
    <xf numFmtId="49" fontId="11" fillId="5" borderId="10" xfId="28" applyNumberFormat="1" applyFont="1" applyFill="1" applyBorder="1" applyAlignment="1" applyProtection="1" quotePrefix="1">
      <alignment horizontal="center" vertical="center"/>
      <protection/>
    </xf>
    <xf numFmtId="37" fontId="7" fillId="0" borderId="6" xfId="28" applyFont="1" applyFill="1" applyBorder="1" applyAlignment="1" applyProtection="1">
      <alignment vertical="center"/>
      <protection/>
    </xf>
    <xf numFmtId="37" fontId="7" fillId="0" borderId="11" xfId="28" applyFont="1" applyFill="1" applyBorder="1" applyAlignment="1" applyProtection="1">
      <alignment vertical="center"/>
      <protection/>
    </xf>
    <xf numFmtId="49" fontId="9" fillId="4" borderId="29" xfId="28" applyNumberFormat="1" applyFont="1" applyFill="1" applyBorder="1" applyAlignment="1" applyProtection="1">
      <alignment horizontal="center" vertical="center"/>
      <protection/>
    </xf>
    <xf numFmtId="49" fontId="9" fillId="4" borderId="13" xfId="28" applyNumberFormat="1" applyFont="1" applyFill="1" applyBorder="1" applyAlignment="1" applyProtection="1">
      <alignment horizontal="center" vertical="center"/>
      <protection/>
    </xf>
    <xf numFmtId="37" fontId="9" fillId="4" borderId="13" xfId="28" applyFont="1" applyFill="1" applyBorder="1" applyAlignment="1" applyProtection="1">
      <alignment horizontal="left" vertical="center" wrapText="1"/>
      <protection/>
    </xf>
    <xf numFmtId="37" fontId="9" fillId="4" borderId="29" xfId="28" applyFont="1" applyFill="1" applyBorder="1" applyAlignment="1" applyProtection="1">
      <alignment vertical="center"/>
      <protection/>
    </xf>
    <xf numFmtId="37" fontId="9" fillId="4" borderId="13" xfId="28" applyFont="1" applyFill="1" applyBorder="1" applyAlignment="1" applyProtection="1">
      <alignment vertical="center"/>
      <protection/>
    </xf>
    <xf numFmtId="37" fontId="9" fillId="4" borderId="14" xfId="28" applyFont="1" applyFill="1" applyBorder="1" applyAlignment="1" applyProtection="1">
      <alignment vertical="center"/>
      <protection/>
    </xf>
    <xf numFmtId="37" fontId="9" fillId="4" borderId="13" xfId="28" applyFont="1" applyFill="1" applyBorder="1" applyAlignment="1" applyProtection="1">
      <alignment vertical="center"/>
      <protection locked="0"/>
    </xf>
    <xf numFmtId="49" fontId="9" fillId="3" borderId="18" xfId="28" applyNumberFormat="1" applyFont="1" applyFill="1" applyBorder="1" applyAlignment="1" applyProtection="1">
      <alignment horizontal="center" vertical="center"/>
      <protection/>
    </xf>
    <xf numFmtId="49" fontId="9" fillId="3" borderId="12" xfId="28" applyNumberFormat="1" applyFont="1" applyFill="1" applyBorder="1" applyAlignment="1" applyProtection="1">
      <alignment horizontal="center" vertical="center"/>
      <protection/>
    </xf>
    <xf numFmtId="49" fontId="9" fillId="3" borderId="12" xfId="28" applyNumberFormat="1" applyFont="1" applyFill="1" applyBorder="1" applyAlignment="1" applyProtection="1" quotePrefix="1">
      <alignment horizontal="center" vertical="center"/>
      <protection/>
    </xf>
    <xf numFmtId="37" fontId="9" fillId="3" borderId="12" xfId="28" applyFont="1" applyFill="1" applyBorder="1" applyAlignment="1" applyProtection="1">
      <alignment vertical="center" wrapText="1"/>
      <protection/>
    </xf>
    <xf numFmtId="37" fontId="9" fillId="3" borderId="18" xfId="28" applyFont="1" applyFill="1" applyBorder="1" applyAlignment="1" applyProtection="1">
      <alignment vertical="center"/>
      <protection/>
    </xf>
    <xf numFmtId="37" fontId="9" fillId="3" borderId="12" xfId="28" applyFont="1" applyFill="1" applyBorder="1" applyAlignment="1" applyProtection="1">
      <alignment vertical="center"/>
      <protection/>
    </xf>
    <xf numFmtId="37" fontId="9" fillId="3" borderId="19" xfId="28" applyFont="1" applyFill="1" applyBorder="1" applyAlignment="1" applyProtection="1">
      <alignment vertical="center"/>
      <protection/>
    </xf>
    <xf numFmtId="37" fontId="9" fillId="3" borderId="12" xfId="28" applyFont="1" applyFill="1" applyBorder="1" applyAlignment="1" applyProtection="1">
      <alignment vertical="center"/>
      <protection locked="0"/>
    </xf>
    <xf numFmtId="37" fontId="7" fillId="0" borderId="9" xfId="28" applyFont="1" applyFill="1" applyBorder="1" applyAlignment="1" applyProtection="1">
      <alignment vertical="center" wrapText="1"/>
      <protection/>
    </xf>
    <xf numFmtId="37" fontId="9" fillId="0" borderId="24" xfId="28" applyFont="1" applyFill="1" applyBorder="1" applyAlignment="1" applyProtection="1">
      <alignment horizontal="center" vertical="center"/>
      <protection/>
    </xf>
    <xf numFmtId="37" fontId="9" fillId="0" borderId="24" xfId="28" applyFont="1" applyFill="1" applyBorder="1" applyAlignment="1" applyProtection="1">
      <alignment horizontal="center" vertical="center"/>
      <protection locked="0"/>
    </xf>
    <xf numFmtId="49" fontId="1" fillId="0" borderId="9" xfId="28" applyNumberFormat="1" applyFont="1" applyFill="1" applyBorder="1" applyAlignment="1" applyProtection="1">
      <alignment horizontal="center" vertical="center"/>
      <protection/>
    </xf>
    <xf numFmtId="49" fontId="1" fillId="0" borderId="9" xfId="28" applyNumberFormat="1" applyFont="1" applyFill="1" applyBorder="1" applyAlignment="1" applyProtection="1">
      <alignment horizontal="center" vertical="center"/>
      <protection locked="0"/>
    </xf>
    <xf numFmtId="37" fontId="9" fillId="3" borderId="15" xfId="29" applyFont="1" applyFill="1" applyBorder="1" applyAlignment="1" applyProtection="1">
      <alignment horizontal="centerContinuous" vertical="center"/>
      <protection locked="0"/>
    </xf>
    <xf numFmtId="37" fontId="9" fillId="3" borderId="17" xfId="29" applyFont="1" applyFill="1" applyBorder="1" applyAlignment="1" applyProtection="1">
      <alignment horizontal="centerContinuous" vertical="center"/>
      <protection locked="0"/>
    </xf>
    <xf numFmtId="180" fontId="9" fillId="3" borderId="3" xfId="29" applyNumberFormat="1" applyFont="1" applyFill="1" applyBorder="1" applyAlignment="1" applyProtection="1">
      <alignment horizontal="centerContinuous" vertical="center"/>
      <protection locked="0"/>
    </xf>
    <xf numFmtId="180" fontId="9" fillId="3" borderId="5" xfId="29" applyNumberFormat="1" applyFont="1" applyFill="1" applyBorder="1" applyAlignment="1" applyProtection="1">
      <alignment horizontal="centerContinuous" vertical="center"/>
      <protection locked="0"/>
    </xf>
    <xf numFmtId="37" fontId="9" fillId="4" borderId="14" xfId="28" applyFont="1" applyFill="1" applyBorder="1" applyAlignment="1" applyProtection="1" quotePrefix="1">
      <alignment horizontal="left" vertical="center" wrapText="1"/>
      <protection/>
    </xf>
    <xf numFmtId="37" fontId="9" fillId="3" borderId="19" xfId="28" applyFont="1" applyFill="1" applyBorder="1" applyAlignment="1" applyProtection="1">
      <alignment vertical="center" wrapText="1"/>
      <protection/>
    </xf>
    <xf numFmtId="37" fontId="7" fillId="0" borderId="8" xfId="28" applyFont="1" applyFill="1" applyBorder="1" applyAlignment="1" applyProtection="1">
      <alignment vertical="center" wrapText="1"/>
      <protection/>
    </xf>
    <xf numFmtId="37" fontId="7" fillId="0" borderId="10" xfId="28" applyFont="1" applyFill="1" applyBorder="1" applyAlignment="1" applyProtection="1">
      <alignment vertical="center" wrapText="1"/>
      <protection/>
    </xf>
    <xf numFmtId="37" fontId="9" fillId="3" borderId="26" xfId="28" applyFont="1" applyFill="1" applyBorder="1" applyAlignment="1" applyProtection="1">
      <alignment horizontal="left" vertical="center" wrapText="1"/>
      <protection/>
    </xf>
    <xf numFmtId="37" fontId="9" fillId="3" borderId="27" xfId="28" applyFont="1" applyFill="1" applyBorder="1" applyAlignment="1" applyProtection="1">
      <alignment vertical="center"/>
      <protection/>
    </xf>
    <xf numFmtId="37" fontId="9" fillId="3" borderId="27" xfId="28" applyFont="1" applyFill="1" applyBorder="1" applyAlignment="1" applyProtection="1">
      <alignment vertical="center"/>
      <protection locked="0"/>
    </xf>
    <xf numFmtId="37" fontId="9" fillId="3" borderId="28" xfId="28" applyFont="1" applyFill="1" applyBorder="1" applyAlignment="1" applyProtection="1">
      <alignment vertical="center"/>
      <protection/>
    </xf>
    <xf numFmtId="37" fontId="9" fillId="3" borderId="39" xfId="28" applyFont="1" applyFill="1" applyBorder="1" applyAlignment="1" applyProtection="1">
      <alignment horizontal="left" vertical="center" wrapText="1"/>
      <protection/>
    </xf>
    <xf numFmtId="37" fontId="9" fillId="3" borderId="40" xfId="28" applyFont="1" applyFill="1" applyBorder="1" applyAlignment="1" applyProtection="1">
      <alignment vertical="center"/>
      <protection/>
    </xf>
    <xf numFmtId="37" fontId="9" fillId="3" borderId="40" xfId="28" applyFont="1" applyFill="1" applyBorder="1" applyAlignment="1" applyProtection="1">
      <alignment vertical="center"/>
      <protection locked="0"/>
    </xf>
    <xf numFmtId="37" fontId="9" fillId="3" borderId="41" xfId="28" applyFont="1" applyFill="1" applyBorder="1" applyAlignment="1" applyProtection="1">
      <alignment vertical="center"/>
      <protection/>
    </xf>
    <xf numFmtId="37" fontId="9" fillId="4" borderId="26" xfId="28" applyFont="1" applyFill="1" applyBorder="1" applyAlignment="1" applyProtection="1">
      <alignment horizontal="left" vertical="center" wrapText="1"/>
      <protection/>
    </xf>
    <xf numFmtId="37" fontId="9" fillId="4" borderId="27" xfId="28" applyFont="1" applyFill="1" applyBorder="1" applyAlignment="1" applyProtection="1">
      <alignment vertical="center"/>
      <protection/>
    </xf>
    <xf numFmtId="37" fontId="9" fillId="4" borderId="27" xfId="28" applyFont="1" applyFill="1" applyBorder="1" applyAlignment="1" applyProtection="1">
      <alignment vertical="center"/>
      <protection locked="0"/>
    </xf>
    <xf numFmtId="37" fontId="9" fillId="4" borderId="28" xfId="28" applyFont="1" applyFill="1" applyBorder="1" applyAlignment="1" applyProtection="1">
      <alignment vertical="center"/>
      <protection/>
    </xf>
    <xf numFmtId="37" fontId="9" fillId="4" borderId="39" xfId="28" applyFont="1" applyFill="1" applyBorder="1" applyAlignment="1" applyProtection="1">
      <alignment horizontal="left" vertical="center" wrapText="1"/>
      <protection/>
    </xf>
    <xf numFmtId="37" fontId="9" fillId="4" borderId="40" xfId="28" applyFont="1" applyFill="1" applyBorder="1" applyAlignment="1" applyProtection="1">
      <alignment vertical="center"/>
      <protection/>
    </xf>
    <xf numFmtId="37" fontId="9" fillId="4" borderId="40" xfId="28" applyFont="1" applyFill="1" applyBorder="1" applyAlignment="1" applyProtection="1">
      <alignment vertical="center"/>
      <protection locked="0"/>
    </xf>
    <xf numFmtId="37" fontId="9" fillId="4" borderId="41" xfId="28" applyFont="1" applyFill="1" applyBorder="1" applyAlignment="1" applyProtection="1">
      <alignment vertical="center"/>
      <protection/>
    </xf>
    <xf numFmtId="37" fontId="9" fillId="5" borderId="29" xfId="28" applyFont="1" applyFill="1" applyBorder="1" applyAlignment="1" applyProtection="1">
      <alignment horizontal="left" vertical="center" wrapText="1"/>
      <protection/>
    </xf>
    <xf numFmtId="37" fontId="9" fillId="5" borderId="13" xfId="28" applyFont="1" applyFill="1" applyBorder="1" applyAlignment="1" applyProtection="1">
      <alignment vertical="center"/>
      <protection/>
    </xf>
    <xf numFmtId="37" fontId="9" fillId="5" borderId="13" xfId="28" applyFont="1" applyFill="1" applyBorder="1" applyAlignment="1" applyProtection="1">
      <alignment vertical="center"/>
      <protection locked="0"/>
    </xf>
    <xf numFmtId="37" fontId="9" fillId="5" borderId="14" xfId="28" applyFont="1" applyFill="1" applyBorder="1" applyAlignment="1" applyProtection="1">
      <alignment vertical="center"/>
      <protection/>
    </xf>
    <xf numFmtId="37" fontId="9" fillId="3" borderId="26" xfId="28" applyFont="1" applyFill="1" applyBorder="1" applyAlignment="1" applyProtection="1">
      <alignment vertical="center"/>
      <protection/>
    </xf>
    <xf numFmtId="37" fontId="9" fillId="3" borderId="39" xfId="28" applyFont="1" applyFill="1" applyBorder="1" applyAlignment="1" applyProtection="1">
      <alignment vertical="center"/>
      <protection/>
    </xf>
    <xf numFmtId="37" fontId="9" fillId="4" borderId="26" xfId="28" applyFont="1" applyFill="1" applyBorder="1" applyAlignment="1" applyProtection="1">
      <alignment vertical="center"/>
      <protection/>
    </xf>
    <xf numFmtId="37" fontId="9" fillId="4" borderId="39" xfId="28" applyFont="1" applyFill="1" applyBorder="1" applyAlignment="1" applyProtection="1">
      <alignment vertical="center"/>
      <protection/>
    </xf>
    <xf numFmtId="37" fontId="9" fillId="5" borderId="29" xfId="28" applyFont="1" applyFill="1" applyBorder="1" applyAlignment="1" applyProtection="1">
      <alignment vertical="center"/>
      <protection/>
    </xf>
    <xf numFmtId="37" fontId="9" fillId="3" borderId="17" xfId="28" applyFont="1" applyFill="1" applyBorder="1" applyAlignment="1" applyProtection="1">
      <alignment horizontal="center" vertical="center"/>
      <protection/>
    </xf>
    <xf numFmtId="49" fontId="1" fillId="3" borderId="5" xfId="28" applyNumberFormat="1" applyFont="1" applyFill="1" applyBorder="1" applyAlignment="1" applyProtection="1">
      <alignment horizontal="center" vertical="center"/>
      <protection/>
    </xf>
    <xf numFmtId="37" fontId="9" fillId="3" borderId="25" xfId="28" applyFont="1" applyFill="1" applyBorder="1" applyAlignment="1" applyProtection="1">
      <alignment horizontal="center" vertical="center"/>
      <protection/>
    </xf>
    <xf numFmtId="49" fontId="1" fillId="3" borderId="10" xfId="28" applyNumberFormat="1" applyFont="1" applyFill="1" applyBorder="1" applyAlignment="1" applyProtection="1">
      <alignment horizontal="center" vertical="center"/>
      <protection/>
    </xf>
    <xf numFmtId="37" fontId="8" fillId="5" borderId="27" xfId="28" applyFont="1" applyFill="1" applyBorder="1" applyAlignment="1" applyProtection="1">
      <alignment horizontal="centerContinuous" vertical="center"/>
      <protection/>
    </xf>
    <xf numFmtId="37" fontId="0" fillId="0" borderId="30" xfId="28" applyFont="1" applyFill="1" applyBorder="1" applyAlignment="1" applyProtection="1">
      <alignment horizontal="left" vertical="center"/>
      <protection/>
    </xf>
    <xf numFmtId="37" fontId="0" fillId="0" borderId="31" xfId="28" applyFont="1" applyFill="1" applyBorder="1" applyAlignment="1" applyProtection="1">
      <alignment horizontal="left" vertical="center"/>
      <protection/>
    </xf>
    <xf numFmtId="37" fontId="7" fillId="5" borderId="1" xfId="30" applyFont="1" applyFill="1" applyBorder="1" applyAlignment="1" applyProtection="1">
      <alignment horizontal="center" vertical="center"/>
      <protection locked="0"/>
    </xf>
    <xf numFmtId="37" fontId="7" fillId="5" borderId="2" xfId="30" applyFont="1" applyFill="1" applyBorder="1" applyAlignment="1" applyProtection="1">
      <alignment horizontal="center" vertical="center"/>
      <protection locked="0"/>
    </xf>
    <xf numFmtId="37" fontId="0" fillId="2" borderId="15" xfId="28" applyFont="1" applyFill="1" applyBorder="1" applyAlignment="1" applyProtection="1">
      <alignment horizontal="left" vertical="center"/>
      <protection/>
    </xf>
    <xf numFmtId="37" fontId="0" fillId="2" borderId="16" xfId="28" applyFont="1" applyFill="1" applyBorder="1" applyAlignment="1" applyProtection="1">
      <alignment horizontal="left" vertical="center"/>
      <protection/>
    </xf>
    <xf numFmtId="0" fontId="0" fillId="2" borderId="16" xfId="0" applyFont="1" applyFill="1" applyBorder="1" applyAlignment="1" applyProtection="1">
      <alignment vertical="center"/>
      <protection/>
    </xf>
    <xf numFmtId="37" fontId="7" fillId="2" borderId="16" xfId="28" applyFont="1" applyFill="1" applyBorder="1" applyAlignment="1" applyProtection="1">
      <alignment vertical="center"/>
      <protection/>
    </xf>
    <xf numFmtId="37" fontId="7" fillId="2" borderId="17" xfId="28" applyFont="1" applyFill="1" applyBorder="1" applyAlignment="1" applyProtection="1">
      <alignment horizontal="right" vertical="center"/>
      <protection/>
    </xf>
    <xf numFmtId="37" fontId="0" fillId="2" borderId="3" xfId="28" applyFont="1" applyFill="1" applyBorder="1" applyAlignment="1" applyProtection="1">
      <alignment horizontal="left" vertical="center"/>
      <protection/>
    </xf>
    <xf numFmtId="37" fontId="0" fillId="2" borderId="4" xfId="28" applyFont="1" applyFill="1" applyBorder="1" applyAlignment="1" applyProtection="1">
      <alignment horizontal="left"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37" fontId="0" fillId="2" borderId="4" xfId="28" applyFont="1" applyFill="1" applyBorder="1" applyAlignment="1" applyProtection="1">
      <alignment vertical="center"/>
      <protection/>
    </xf>
    <xf numFmtId="37" fontId="7" fillId="2" borderId="4" xfId="28" applyFont="1" applyFill="1" applyBorder="1" applyAlignment="1" applyProtection="1">
      <alignment vertical="center"/>
      <protection/>
    </xf>
    <xf numFmtId="37" fontId="7" fillId="2" borderId="5" xfId="28" applyFont="1" applyFill="1" applyBorder="1" applyAlignment="1" applyProtection="1">
      <alignment horizontal="right" vertical="center"/>
      <protection/>
    </xf>
    <xf numFmtId="37" fontId="9" fillId="3" borderId="16" xfId="29" applyFont="1" applyFill="1" applyBorder="1" applyAlignment="1" applyProtection="1">
      <alignment horizontal="centerContinuous" vertical="center"/>
      <protection locked="0"/>
    </xf>
    <xf numFmtId="180" fontId="9" fillId="3" borderId="4" xfId="29" applyNumberFormat="1" applyFont="1" applyFill="1" applyBorder="1" applyAlignment="1" applyProtection="1">
      <alignment horizontal="centerContinuous" vertical="center"/>
      <protection locked="0"/>
    </xf>
    <xf numFmtId="37" fontId="11" fillId="5" borderId="16" xfId="28" applyFont="1" applyFill="1" applyBorder="1" applyAlignment="1" applyProtection="1">
      <alignment horizontal="center" vertical="center"/>
      <protection/>
    </xf>
    <xf numFmtId="37" fontId="11" fillId="5" borderId="0" xfId="28" applyFont="1" applyFill="1" applyBorder="1" applyAlignment="1" applyProtection="1">
      <alignment horizontal="center" vertical="center"/>
      <protection/>
    </xf>
    <xf numFmtId="49" fontId="11" fillId="5" borderId="4" xfId="28" applyNumberFormat="1" applyFont="1" applyFill="1" applyBorder="1" applyAlignment="1" applyProtection="1">
      <alignment horizontal="center" vertical="center"/>
      <protection/>
    </xf>
    <xf numFmtId="37" fontId="9" fillId="4" borderId="33" xfId="28" applyFont="1" applyFill="1" applyBorder="1" applyAlignment="1" applyProtection="1">
      <alignment vertical="center"/>
      <protection/>
    </xf>
    <xf numFmtId="37" fontId="9" fillId="4" borderId="42" xfId="28" applyFont="1" applyFill="1" applyBorder="1" applyAlignment="1" applyProtection="1">
      <alignment vertical="center"/>
      <protection/>
    </xf>
    <xf numFmtId="37" fontId="9" fillId="3" borderId="43" xfId="28" applyFont="1" applyFill="1" applyBorder="1" applyAlignment="1" applyProtection="1">
      <alignment vertical="center"/>
      <protection/>
    </xf>
    <xf numFmtId="37" fontId="9" fillId="3" borderId="44" xfId="28" applyFont="1" applyFill="1" applyBorder="1" applyAlignment="1" applyProtection="1">
      <alignment vertical="center"/>
      <protection/>
    </xf>
    <xf numFmtId="37" fontId="9" fillId="4" borderId="43" xfId="28" applyFont="1" applyFill="1" applyBorder="1" applyAlignment="1" applyProtection="1">
      <alignment vertical="center"/>
      <protection/>
    </xf>
    <xf numFmtId="37" fontId="9" fillId="4" borderId="44" xfId="28" applyFont="1" applyFill="1" applyBorder="1" applyAlignment="1" applyProtection="1">
      <alignment vertical="center"/>
      <protection/>
    </xf>
    <xf numFmtId="37" fontId="9" fillId="5" borderId="33" xfId="28" applyFont="1" applyFill="1" applyBorder="1" applyAlignment="1" applyProtection="1">
      <alignment vertical="center"/>
      <protection/>
    </xf>
    <xf numFmtId="37" fontId="9" fillId="2" borderId="17" xfId="28" applyFont="1" applyFill="1" applyBorder="1" applyAlignment="1" applyProtection="1">
      <alignment horizontal="center" vertical="center"/>
      <protection/>
    </xf>
    <xf numFmtId="49" fontId="1" fillId="2" borderId="5" xfId="28" applyNumberFormat="1" applyFont="1" applyFill="1" applyBorder="1" applyAlignment="1" applyProtection="1">
      <alignment horizontal="center" vertical="center"/>
      <protection/>
    </xf>
    <xf numFmtId="37" fontId="9" fillId="2" borderId="25" xfId="28" applyFont="1" applyFill="1" applyBorder="1" applyAlignment="1" applyProtection="1">
      <alignment horizontal="center" vertical="center"/>
      <protection/>
    </xf>
    <xf numFmtId="49" fontId="1" fillId="2" borderId="10" xfId="28" applyNumberFormat="1" applyFont="1" applyFill="1" applyBorder="1" applyAlignment="1" applyProtection="1">
      <alignment horizontal="center" vertical="center"/>
      <protection/>
    </xf>
    <xf numFmtId="37" fontId="9" fillId="2" borderId="16" xfId="29" applyFont="1" applyFill="1" applyBorder="1" applyAlignment="1">
      <alignment horizontal="center" vertical="center"/>
      <protection/>
    </xf>
    <xf numFmtId="49" fontId="9" fillId="2" borderId="4" xfId="29" applyNumberFormat="1" applyFont="1" applyFill="1" applyBorder="1" applyAlignment="1">
      <alignment horizontal="center" vertical="center"/>
      <protection/>
    </xf>
    <xf numFmtId="37" fontId="9" fillId="3" borderId="45" xfId="29" applyFont="1" applyFill="1" applyBorder="1" applyAlignment="1" applyProtection="1">
      <alignment horizontal="center" vertical="center"/>
      <protection locked="0"/>
    </xf>
    <xf numFmtId="180" fontId="9" fillId="3" borderId="46" xfId="29" applyNumberFormat="1" applyFont="1" applyFill="1" applyBorder="1" applyAlignment="1" applyProtection="1">
      <alignment horizontal="center" vertical="center"/>
      <protection locked="0"/>
    </xf>
    <xf numFmtId="37" fontId="9" fillId="3" borderId="8" xfId="28" applyFont="1" applyFill="1" applyBorder="1" applyAlignment="1" applyProtection="1">
      <alignment vertical="center"/>
      <protection/>
    </xf>
    <xf numFmtId="37" fontId="9" fillId="3" borderId="10" xfId="28" applyFont="1" applyFill="1" applyBorder="1" applyAlignment="1" applyProtection="1">
      <alignment vertical="center"/>
      <protection/>
    </xf>
    <xf numFmtId="37" fontId="7" fillId="3" borderId="8" xfId="28" applyFont="1" applyFill="1" applyBorder="1" applyAlignment="1" applyProtection="1">
      <alignment vertical="center"/>
      <protection/>
    </xf>
    <xf numFmtId="37" fontId="7" fillId="3" borderId="10" xfId="28" applyFont="1" applyFill="1" applyBorder="1" applyAlignment="1" applyProtection="1">
      <alignment vertical="center"/>
      <protection/>
    </xf>
    <xf numFmtId="37" fontId="7" fillId="3" borderId="7" xfId="28" applyFont="1" applyFill="1" applyBorder="1" applyAlignment="1" applyProtection="1">
      <alignment vertical="center"/>
      <protection/>
    </xf>
    <xf numFmtId="37" fontId="7" fillId="3" borderId="9" xfId="28" applyFont="1" applyFill="1" applyBorder="1" applyAlignment="1" applyProtection="1">
      <alignment vertical="center"/>
      <protection/>
    </xf>
    <xf numFmtId="37" fontId="9" fillId="2" borderId="17" xfId="28" applyFont="1" applyFill="1" applyBorder="1" applyAlignment="1" applyProtection="1">
      <alignment horizontal="center" vertical="center"/>
      <protection/>
    </xf>
    <xf numFmtId="49" fontId="1" fillId="2" borderId="5" xfId="28" applyNumberFormat="1" applyFont="1" applyFill="1" applyBorder="1" applyAlignment="1" applyProtection="1">
      <alignment horizontal="center" vertical="center"/>
      <protection/>
    </xf>
    <xf numFmtId="37" fontId="9" fillId="0" borderId="0" xfId="28" applyFont="1" applyFill="1" applyBorder="1" applyAlignment="1" applyProtection="1">
      <alignment vertical="center"/>
      <protection/>
    </xf>
    <xf numFmtId="37" fontId="11" fillId="5" borderId="17" xfId="28" applyFont="1" applyFill="1" applyBorder="1" applyAlignment="1" applyProtection="1">
      <alignment horizontal="center" vertical="center"/>
      <protection/>
    </xf>
    <xf numFmtId="37" fontId="11" fillId="5" borderId="37" xfId="28" applyFont="1" applyFill="1" applyBorder="1" applyAlignment="1" applyProtection="1">
      <alignment horizontal="center" vertical="center"/>
      <protection/>
    </xf>
    <xf numFmtId="49" fontId="11" fillId="5" borderId="5" xfId="28" applyNumberFormat="1" applyFont="1" applyFill="1" applyBorder="1" applyAlignment="1" applyProtection="1">
      <alignment horizontal="center" vertical="center"/>
      <protection/>
    </xf>
    <xf numFmtId="37" fontId="9" fillId="3" borderId="7" xfId="28" applyFont="1" applyFill="1" applyBorder="1" applyAlignment="1" applyProtection="1">
      <alignment vertical="center"/>
      <protection/>
    </xf>
    <xf numFmtId="37" fontId="9" fillId="3" borderId="9" xfId="28" applyFont="1" applyFill="1" applyBorder="1" applyAlignment="1" applyProtection="1">
      <alignment vertical="center"/>
      <protection/>
    </xf>
    <xf numFmtId="37" fontId="9" fillId="2" borderId="25" xfId="28" applyFont="1" applyFill="1" applyBorder="1" applyAlignment="1" applyProtection="1">
      <alignment horizontal="center" vertical="center"/>
      <protection/>
    </xf>
    <xf numFmtId="49" fontId="1" fillId="2" borderId="10" xfId="28" applyNumberFormat="1" applyFont="1" applyFill="1" applyBorder="1" applyAlignment="1" applyProtection="1">
      <alignment horizontal="center" vertical="center"/>
      <protection/>
    </xf>
    <xf numFmtId="37" fontId="11" fillId="5" borderId="25" xfId="28" applyFont="1" applyFill="1" applyBorder="1" applyAlignment="1" applyProtection="1">
      <alignment horizontal="center" vertical="center"/>
      <protection/>
    </xf>
    <xf numFmtId="37" fontId="11" fillId="5" borderId="8" xfId="28" applyFont="1" applyFill="1" applyBorder="1" applyAlignment="1" applyProtection="1">
      <alignment horizontal="center" vertical="center"/>
      <protection/>
    </xf>
    <xf numFmtId="49" fontId="11" fillId="5" borderId="10" xfId="28" applyNumberFormat="1" applyFont="1" applyFill="1" applyBorder="1" applyAlignment="1" applyProtection="1" quotePrefix="1">
      <alignment horizontal="center" vertical="center"/>
      <protection/>
    </xf>
    <xf numFmtId="37" fontId="9" fillId="4" borderId="18" xfId="28" applyFont="1" applyFill="1" applyBorder="1" applyAlignment="1" applyProtection="1">
      <alignment vertical="center"/>
      <protection/>
    </xf>
    <xf numFmtId="37" fontId="9" fillId="4" borderId="47" xfId="28" applyFont="1" applyFill="1" applyBorder="1" applyAlignment="1" applyProtection="1">
      <alignment vertical="center"/>
      <protection/>
    </xf>
    <xf numFmtId="37" fontId="9" fillId="4" borderId="19" xfId="28" applyFont="1" applyFill="1" applyBorder="1" applyAlignment="1" applyProtection="1">
      <alignment vertical="center"/>
      <protection/>
    </xf>
    <xf numFmtId="37" fontId="7" fillId="4" borderId="6" xfId="28" applyFont="1" applyFill="1" applyBorder="1" applyAlignment="1" applyProtection="1">
      <alignment vertical="center"/>
      <protection/>
    </xf>
    <xf numFmtId="37" fontId="7" fillId="4" borderId="0" xfId="28" applyFont="1" applyFill="1" applyBorder="1" applyAlignment="1" applyProtection="1">
      <alignment vertical="center"/>
      <protection/>
    </xf>
    <xf numFmtId="37" fontId="7" fillId="4" borderId="8" xfId="28" applyFont="1" applyFill="1" applyBorder="1" applyAlignment="1" applyProtection="1">
      <alignment vertical="center"/>
      <protection/>
    </xf>
    <xf numFmtId="37" fontId="7" fillId="4" borderId="11" xfId="28" applyFont="1" applyFill="1" applyBorder="1" applyAlignment="1" applyProtection="1">
      <alignment vertical="center"/>
      <protection/>
    </xf>
    <xf numFmtId="37" fontId="7" fillId="4" borderId="4" xfId="28" applyFont="1" applyFill="1" applyBorder="1" applyAlignment="1" applyProtection="1">
      <alignment vertical="center"/>
      <protection/>
    </xf>
    <xf numFmtId="37" fontId="7" fillId="4" borderId="10" xfId="28" applyFont="1" applyFill="1" applyBorder="1" applyAlignment="1" applyProtection="1">
      <alignment vertical="center"/>
      <protection/>
    </xf>
    <xf numFmtId="37" fontId="9" fillId="4" borderId="12" xfId="28" applyFont="1" applyFill="1" applyBorder="1" applyAlignment="1" applyProtection="1">
      <alignment vertical="center"/>
      <protection/>
    </xf>
    <xf numFmtId="37" fontId="9" fillId="4" borderId="48" xfId="28" applyFont="1" applyFill="1" applyBorder="1" applyAlignment="1" applyProtection="1">
      <alignment vertical="center"/>
      <protection/>
    </xf>
    <xf numFmtId="37" fontId="7" fillId="4" borderId="7" xfId="28" applyFont="1" applyFill="1" applyBorder="1" applyAlignment="1" applyProtection="1">
      <alignment vertical="center"/>
      <protection/>
    </xf>
    <xf numFmtId="37" fontId="7" fillId="4" borderId="49" xfId="28" applyFont="1" applyFill="1" applyBorder="1" applyAlignment="1" applyProtection="1">
      <alignment vertical="center"/>
      <protection/>
    </xf>
    <xf numFmtId="37" fontId="7" fillId="4" borderId="9" xfId="28" applyFont="1" applyFill="1" applyBorder="1" applyAlignment="1" applyProtection="1">
      <alignment vertical="center"/>
      <protection/>
    </xf>
    <xf numFmtId="37" fontId="7" fillId="4" borderId="50" xfId="28" applyFont="1" applyFill="1" applyBorder="1" applyAlignment="1" applyProtection="1">
      <alignment vertical="center"/>
      <protection/>
    </xf>
    <xf numFmtId="37" fontId="7" fillId="2" borderId="8" xfId="28" applyFont="1" applyFill="1" applyBorder="1" applyAlignment="1" applyProtection="1">
      <alignment vertical="center" wrapText="1"/>
      <protection/>
    </xf>
    <xf numFmtId="37" fontId="7" fillId="2" borderId="10" xfId="28" applyFont="1" applyFill="1" applyBorder="1" applyAlignment="1" applyProtection="1">
      <alignment vertical="center" wrapText="1"/>
      <protection/>
    </xf>
    <xf numFmtId="37" fontId="9" fillId="0" borderId="15" xfId="30" applyFont="1" applyFill="1" applyBorder="1" applyAlignment="1" applyProtection="1">
      <alignment horizontal="centerContinuous" vertical="center"/>
      <protection/>
    </xf>
    <xf numFmtId="37" fontId="1" fillId="0" borderId="16" xfId="30" applyFont="1" applyBorder="1" applyAlignment="1">
      <alignment horizontal="centerContinuous" vertical="center"/>
      <protection/>
    </xf>
    <xf numFmtId="37" fontId="1" fillId="0" borderId="16" xfId="30" applyFont="1" applyBorder="1" applyAlignment="1">
      <alignment horizontal="centerContinuous" vertical="center"/>
      <protection/>
    </xf>
    <xf numFmtId="37" fontId="0" fillId="0" borderId="30" xfId="30" applyFont="1" applyBorder="1" applyAlignment="1" applyProtection="1">
      <alignment horizontal="center" vertical="center"/>
      <protection/>
    </xf>
    <xf numFmtId="37" fontId="0" fillId="0" borderId="30" xfId="30" applyFont="1" applyBorder="1" applyAlignment="1" applyProtection="1">
      <alignment horizontal="left" vertical="center"/>
      <protection/>
    </xf>
    <xf numFmtId="37" fontId="0" fillId="0" borderId="0" xfId="30" applyFont="1" applyAlignment="1">
      <alignment vertical="center"/>
      <protection/>
    </xf>
    <xf numFmtId="37" fontId="9" fillId="0" borderId="3" xfId="30" applyFont="1" applyFill="1" applyBorder="1" applyAlignment="1" applyProtection="1">
      <alignment horizontal="centerContinuous" vertical="center"/>
      <protection/>
    </xf>
    <xf numFmtId="37" fontId="1" fillId="0" borderId="4" xfId="30" applyFont="1" applyBorder="1" applyAlignment="1">
      <alignment horizontal="centerContinuous" vertical="center"/>
      <protection/>
    </xf>
    <xf numFmtId="37" fontId="1" fillId="0" borderId="4" xfId="30" applyFont="1" applyBorder="1" applyAlignment="1">
      <alignment horizontal="centerContinuous" vertical="center"/>
      <protection/>
    </xf>
    <xf numFmtId="37" fontId="0" fillId="0" borderId="31" xfId="30" applyFont="1" applyBorder="1" applyAlignment="1" applyProtection="1" quotePrefix="1">
      <alignment horizontal="center" vertical="center"/>
      <protection/>
    </xf>
    <xf numFmtId="37" fontId="0" fillId="0" borderId="31" xfId="30" applyFont="1" applyBorder="1" applyAlignment="1" applyProtection="1">
      <alignment horizontal="left" vertical="center"/>
      <protection/>
    </xf>
    <xf numFmtId="49" fontId="0" fillId="0" borderId="31" xfId="30" applyNumberFormat="1" applyFont="1" applyBorder="1" applyAlignment="1" applyProtection="1">
      <alignment horizontal="center" vertical="center"/>
      <protection/>
    </xf>
    <xf numFmtId="37" fontId="7" fillId="0" borderId="51" xfId="30" applyFont="1" applyFill="1" applyBorder="1" applyAlignment="1">
      <alignment vertical="center"/>
      <protection/>
    </xf>
    <xf numFmtId="37" fontId="1" fillId="0" borderId="0" xfId="30" applyFont="1" applyAlignment="1" applyProtection="1">
      <alignment horizontal="centerContinuous" vertical="center"/>
      <protection/>
    </xf>
    <xf numFmtId="37" fontId="1" fillId="0" borderId="0" xfId="30" applyFont="1" applyAlignment="1">
      <alignment horizontal="centerContinuous" vertical="center"/>
      <protection/>
    </xf>
    <xf numFmtId="37" fontId="7" fillId="2" borderId="52" xfId="30" applyFont="1" applyFill="1" applyBorder="1" applyAlignment="1" applyProtection="1">
      <alignment horizontal="centerContinuous" vertical="center"/>
      <protection/>
    </xf>
    <xf numFmtId="37" fontId="7" fillId="2" borderId="51" xfId="30" applyFont="1" applyFill="1" applyBorder="1" applyAlignment="1">
      <alignment horizontal="centerContinuous" vertical="center"/>
      <protection/>
    </xf>
    <xf numFmtId="37" fontId="7" fillId="2" borderId="52" xfId="30" applyFont="1" applyFill="1" applyBorder="1" applyAlignment="1">
      <alignment vertical="center"/>
      <protection/>
    </xf>
    <xf numFmtId="37" fontId="7" fillId="2" borderId="1" xfId="30" applyFont="1" applyFill="1" applyBorder="1" applyAlignment="1" applyProtection="1">
      <alignment horizontal="centerContinuous" vertical="center"/>
      <protection/>
    </xf>
    <xf numFmtId="37" fontId="7" fillId="2" borderId="51" xfId="30" applyFont="1" applyFill="1" applyBorder="1" applyAlignment="1" applyProtection="1">
      <alignment horizontal="centerContinuous" vertical="center"/>
      <protection/>
    </xf>
    <xf numFmtId="37" fontId="7" fillId="2" borderId="1" xfId="30" applyFont="1" applyFill="1" applyBorder="1" applyAlignment="1">
      <alignment horizontal="center" vertical="center"/>
      <protection/>
    </xf>
    <xf numFmtId="37" fontId="7" fillId="2" borderId="53" xfId="30" applyFont="1" applyFill="1" applyBorder="1" applyAlignment="1" applyProtection="1">
      <alignment horizontal="center" vertical="center"/>
      <protection locked="0"/>
    </xf>
    <xf numFmtId="37" fontId="7" fillId="2" borderId="54" xfId="30" applyFont="1" applyFill="1" applyBorder="1" applyAlignment="1" applyProtection="1">
      <alignment horizontal="center" vertical="center"/>
      <protection/>
    </xf>
    <xf numFmtId="37" fontId="7" fillId="2" borderId="49" xfId="30" applyFont="1" applyFill="1" applyBorder="1" applyAlignment="1" applyProtection="1">
      <alignment horizontal="center" vertical="center"/>
      <protection locked="0"/>
    </xf>
    <xf numFmtId="37" fontId="7" fillId="2" borderId="49" xfId="30" applyFont="1" applyFill="1" applyBorder="1" applyAlignment="1" applyProtection="1">
      <alignment horizontal="centerContinuous" vertical="center"/>
      <protection/>
    </xf>
    <xf numFmtId="37" fontId="7" fillId="2" borderId="0" xfId="30" applyFont="1" applyFill="1" applyBorder="1" applyAlignment="1">
      <alignment horizontal="centerContinuous" vertical="center"/>
      <protection/>
    </xf>
    <xf numFmtId="37" fontId="7" fillId="2" borderId="49" xfId="30" applyFont="1" applyFill="1" applyBorder="1" applyAlignment="1" applyProtection="1">
      <alignment horizontal="center" vertical="center"/>
      <protection/>
    </xf>
    <xf numFmtId="37" fontId="7" fillId="2" borderId="55" xfId="30" applyFont="1" applyFill="1" applyBorder="1" applyAlignment="1" applyProtection="1">
      <alignment horizontal="center" vertical="center"/>
      <protection locked="0"/>
    </xf>
    <xf numFmtId="37" fontId="7" fillId="2" borderId="56" xfId="30" applyFont="1" applyFill="1" applyBorder="1" applyAlignment="1">
      <alignment vertical="center"/>
      <protection/>
    </xf>
    <xf numFmtId="49" fontId="7" fillId="2" borderId="2" xfId="30" applyNumberFormat="1" applyFont="1" applyFill="1" applyBorder="1" applyAlignment="1" applyProtection="1">
      <alignment horizontal="center" vertical="center"/>
      <protection locked="0"/>
    </xf>
    <xf numFmtId="37" fontId="7" fillId="2" borderId="57" xfId="30" applyFont="1" applyFill="1" applyBorder="1" applyAlignment="1" applyProtection="1">
      <alignment horizontal="center" vertical="center"/>
      <protection/>
    </xf>
    <xf numFmtId="37" fontId="7" fillId="2" borderId="58" xfId="30" applyFont="1" applyFill="1" applyBorder="1" applyAlignment="1" applyProtection="1">
      <alignment horizontal="center" vertical="center"/>
      <protection locked="0"/>
    </xf>
    <xf numFmtId="37" fontId="7" fillId="0" borderId="0" xfId="30" applyFont="1" applyFill="1" applyBorder="1" applyAlignment="1" applyProtection="1">
      <alignment vertical="center"/>
      <protection locked="0"/>
    </xf>
    <xf numFmtId="37" fontId="7" fillId="0" borderId="0" xfId="30" applyFont="1" applyFill="1" applyBorder="1" applyAlignment="1">
      <alignment vertical="center"/>
      <protection/>
    </xf>
    <xf numFmtId="37" fontId="0" fillId="0" borderId="0" xfId="30" applyFont="1" applyBorder="1" applyAlignment="1">
      <alignment vertical="center"/>
      <protection/>
    </xf>
    <xf numFmtId="37" fontId="7" fillId="0" borderId="59" xfId="30" applyFont="1" applyFill="1" applyBorder="1" applyAlignment="1" applyProtection="1">
      <alignment vertical="center"/>
      <protection locked="0"/>
    </xf>
    <xf numFmtId="37" fontId="7" fillId="0" borderId="60" xfId="30" applyFont="1" applyFill="1" applyBorder="1" applyAlignment="1" applyProtection="1">
      <alignment vertical="center"/>
      <protection locked="0"/>
    </xf>
    <xf numFmtId="37" fontId="7" fillId="0" borderId="59" xfId="30" applyFont="1" applyFill="1" applyBorder="1" applyAlignment="1" applyProtection="1">
      <alignment vertical="center"/>
      <protection/>
    </xf>
    <xf numFmtId="37" fontId="7" fillId="0" borderId="60" xfId="30" applyFont="1" applyFill="1" applyBorder="1" applyAlignment="1" applyProtection="1">
      <alignment vertical="center"/>
      <protection/>
    </xf>
    <xf numFmtId="37" fontId="7" fillId="0" borderId="61" xfId="30" applyFont="1" applyFill="1" applyBorder="1" applyAlignment="1" applyProtection="1">
      <alignment vertical="center"/>
      <protection locked="0"/>
    </xf>
    <xf numFmtId="37" fontId="7" fillId="0" borderId="62" xfId="30" applyFont="1" applyFill="1" applyBorder="1" applyAlignment="1" applyProtection="1">
      <alignment vertical="center"/>
      <protection locked="0"/>
    </xf>
    <xf numFmtId="37" fontId="7" fillId="0" borderId="49" xfId="30" applyFont="1" applyFill="1" applyBorder="1" applyAlignment="1" applyProtection="1">
      <alignment vertical="center"/>
      <protection locked="0"/>
    </xf>
    <xf numFmtId="37" fontId="7" fillId="0" borderId="54" xfId="30" applyFont="1" applyFill="1" applyBorder="1" applyAlignment="1" applyProtection="1">
      <alignment vertical="center"/>
      <protection/>
    </xf>
    <xf numFmtId="37" fontId="7" fillId="0" borderId="49" xfId="30" applyFont="1" applyFill="1" applyBorder="1" applyAlignment="1" applyProtection="1">
      <alignment vertical="center"/>
      <protection/>
    </xf>
    <xf numFmtId="37" fontId="7" fillId="5" borderId="52" xfId="30" applyFont="1" applyFill="1" applyBorder="1" applyAlignment="1" applyProtection="1">
      <alignment horizontal="centerContinuous" vertical="center"/>
      <protection/>
    </xf>
    <xf numFmtId="37" fontId="7" fillId="5" borderId="51" xfId="30" applyFont="1" applyFill="1" applyBorder="1" applyAlignment="1">
      <alignment horizontal="centerContinuous" vertical="center"/>
      <protection/>
    </xf>
    <xf numFmtId="37" fontId="7" fillId="5" borderId="52" xfId="30" applyFont="1" applyFill="1" applyBorder="1" applyAlignment="1">
      <alignment vertical="center"/>
      <protection/>
    </xf>
    <xf numFmtId="37" fontId="7" fillId="5" borderId="1" xfId="30" applyFont="1" applyFill="1" applyBorder="1" applyAlignment="1" applyProtection="1">
      <alignment horizontal="centerContinuous" vertical="center"/>
      <protection/>
    </xf>
    <xf numFmtId="37" fontId="7" fillId="5" borderId="51" xfId="30" applyFont="1" applyFill="1" applyBorder="1" applyAlignment="1" applyProtection="1">
      <alignment horizontal="centerContinuous" vertical="center"/>
      <protection/>
    </xf>
    <xf numFmtId="37" fontId="7" fillId="5" borderId="1" xfId="30" applyFont="1" applyFill="1" applyBorder="1" applyAlignment="1">
      <alignment horizontal="center" vertical="center"/>
      <protection/>
    </xf>
    <xf numFmtId="37" fontId="7" fillId="5" borderId="53" xfId="30" applyFont="1" applyFill="1" applyBorder="1" applyAlignment="1" applyProtection="1">
      <alignment horizontal="center" vertical="center"/>
      <protection locked="0"/>
    </xf>
    <xf numFmtId="37" fontId="7" fillId="5" borderId="54" xfId="30" applyFont="1" applyFill="1" applyBorder="1" applyAlignment="1" applyProtection="1">
      <alignment horizontal="center" vertical="center"/>
      <protection/>
    </xf>
    <xf numFmtId="37" fontId="7" fillId="5" borderId="49" xfId="30" applyFont="1" applyFill="1" applyBorder="1" applyAlignment="1" applyProtection="1">
      <alignment horizontal="center" vertical="center"/>
      <protection locked="0"/>
    </xf>
    <xf numFmtId="37" fontId="7" fillId="5" borderId="49" xfId="30" applyFont="1" applyFill="1" applyBorder="1" applyAlignment="1" applyProtection="1">
      <alignment horizontal="centerContinuous" vertical="center"/>
      <protection/>
    </xf>
    <xf numFmtId="37" fontId="7" fillId="5" borderId="0" xfId="30" applyFont="1" applyFill="1" applyBorder="1" applyAlignment="1">
      <alignment horizontal="centerContinuous" vertical="center"/>
      <protection/>
    </xf>
    <xf numFmtId="37" fontId="7" fillId="5" borderId="49" xfId="30" applyFont="1" applyFill="1" applyBorder="1" applyAlignment="1" applyProtection="1">
      <alignment horizontal="center" vertical="center"/>
      <protection/>
    </xf>
    <xf numFmtId="37" fontId="7" fillId="5" borderId="55" xfId="30" applyFont="1" applyFill="1" applyBorder="1" applyAlignment="1" applyProtection="1">
      <alignment horizontal="center" vertical="center"/>
      <protection locked="0"/>
    </xf>
    <xf numFmtId="37" fontId="7" fillId="5" borderId="56" xfId="30" applyFont="1" applyFill="1" applyBorder="1" applyAlignment="1">
      <alignment vertical="center"/>
      <protection/>
    </xf>
    <xf numFmtId="49" fontId="7" fillId="5" borderId="2" xfId="30" applyNumberFormat="1" applyFont="1" applyFill="1" applyBorder="1" applyAlignment="1" applyProtection="1">
      <alignment horizontal="center" vertical="center"/>
      <protection locked="0"/>
    </xf>
    <xf numFmtId="37" fontId="7" fillId="5" borderId="57" xfId="30" applyFont="1" applyFill="1" applyBorder="1" applyAlignment="1" applyProtection="1">
      <alignment horizontal="center" vertical="center"/>
      <protection/>
    </xf>
    <xf numFmtId="37" fontId="7" fillId="5" borderId="58" xfId="30" applyFont="1" applyFill="1" applyBorder="1" applyAlignment="1" applyProtection="1">
      <alignment horizontal="center" vertical="center"/>
      <protection locked="0"/>
    </xf>
    <xf numFmtId="37" fontId="14" fillId="2" borderId="52" xfId="30" applyFont="1" applyFill="1" applyBorder="1" applyAlignment="1" applyProtection="1">
      <alignment horizontal="center" vertical="center"/>
      <protection locked="0"/>
    </xf>
    <xf numFmtId="37" fontId="14" fillId="2" borderId="1" xfId="30" applyFont="1" applyFill="1" applyBorder="1" applyAlignment="1" applyProtection="1">
      <alignment horizontal="center" vertical="center"/>
      <protection locked="0"/>
    </xf>
    <xf numFmtId="37" fontId="14" fillId="2" borderId="56" xfId="30" applyFont="1" applyFill="1" applyBorder="1" applyAlignment="1" applyProtection="1">
      <alignment horizontal="center" vertical="center"/>
      <protection locked="0"/>
    </xf>
    <xf numFmtId="37" fontId="14" fillId="2" borderId="2" xfId="30" applyFont="1" applyFill="1" applyBorder="1" applyAlignment="1" applyProtection="1">
      <alignment horizontal="center" vertical="center"/>
      <protection locked="0"/>
    </xf>
    <xf numFmtId="37" fontId="14" fillId="5" borderId="52" xfId="30" applyFont="1" applyFill="1" applyBorder="1" applyAlignment="1" applyProtection="1">
      <alignment horizontal="center" vertical="center"/>
      <protection locked="0"/>
    </xf>
    <xf numFmtId="37" fontId="14" fillId="5" borderId="1" xfId="30" applyFont="1" applyFill="1" applyBorder="1" applyAlignment="1" applyProtection="1">
      <alignment horizontal="center" vertical="center"/>
      <protection locked="0"/>
    </xf>
    <xf numFmtId="37" fontId="14" fillId="5" borderId="56" xfId="30" applyFont="1" applyFill="1" applyBorder="1" applyAlignment="1" applyProtection="1">
      <alignment horizontal="center" vertical="center"/>
      <protection locked="0"/>
    </xf>
    <xf numFmtId="37" fontId="14" fillId="5" borderId="2" xfId="30" applyFont="1" applyFill="1" applyBorder="1" applyAlignment="1" applyProtection="1">
      <alignment horizontal="center" vertical="center"/>
      <protection locked="0"/>
    </xf>
    <xf numFmtId="37" fontId="7" fillId="3" borderId="60" xfId="30" applyFont="1" applyFill="1" applyBorder="1" applyAlignment="1" applyProtection="1">
      <alignment vertical="center"/>
      <protection locked="0"/>
    </xf>
    <xf numFmtId="37" fontId="7" fillId="3" borderId="49" xfId="30" applyFont="1" applyFill="1" applyBorder="1" applyAlignment="1" applyProtection="1">
      <alignment vertical="center"/>
      <protection locked="0"/>
    </xf>
    <xf numFmtId="37" fontId="7" fillId="4" borderId="63" xfId="30" applyFont="1" applyFill="1" applyBorder="1" applyAlignment="1" applyProtection="1">
      <alignment vertical="center"/>
      <protection locked="0"/>
    </xf>
    <xf numFmtId="37" fontId="7" fillId="4" borderId="55" xfId="30" applyFont="1" applyFill="1" applyBorder="1" applyAlignment="1" applyProtection="1">
      <alignment vertical="center"/>
      <protection locked="0"/>
    </xf>
    <xf numFmtId="37" fontId="9" fillId="3" borderId="1" xfId="30" applyFont="1" applyFill="1" applyBorder="1" applyAlignment="1" applyProtection="1">
      <alignment vertical="center"/>
      <protection/>
    </xf>
    <xf numFmtId="37" fontId="9" fillId="4" borderId="64" xfId="30" applyFont="1" applyFill="1" applyBorder="1" applyAlignment="1" applyProtection="1">
      <alignment vertical="center"/>
      <protection/>
    </xf>
    <xf numFmtId="37" fontId="9" fillId="3" borderId="52" xfId="30" applyFont="1" applyFill="1" applyBorder="1" applyAlignment="1" applyProtection="1">
      <alignment vertical="center"/>
      <protection locked="0"/>
    </xf>
    <xf numFmtId="37" fontId="9" fillId="3" borderId="1" xfId="30" applyFont="1" applyFill="1" applyBorder="1" applyAlignment="1" applyProtection="1">
      <alignment vertical="center"/>
      <protection locked="0"/>
    </xf>
    <xf numFmtId="37" fontId="9" fillId="3" borderId="52" xfId="30" applyFont="1" applyFill="1" applyBorder="1" applyAlignment="1" applyProtection="1">
      <alignment vertical="center"/>
      <protection/>
    </xf>
    <xf numFmtId="37" fontId="9" fillId="3" borderId="53" xfId="30" applyFont="1" applyFill="1" applyBorder="1" applyAlignment="1" applyProtection="1">
      <alignment vertical="center"/>
      <protection locked="0"/>
    </xf>
    <xf numFmtId="37" fontId="1" fillId="0" borderId="0" xfId="30" applyFont="1" applyAlignment="1">
      <alignment vertical="center"/>
      <protection/>
    </xf>
    <xf numFmtId="37" fontId="9" fillId="0" borderId="65" xfId="30" applyFont="1" applyFill="1" applyBorder="1" applyAlignment="1" applyProtection="1">
      <alignment vertical="center"/>
      <protection locked="0"/>
    </xf>
    <xf numFmtId="37" fontId="9" fillId="0" borderId="57" xfId="30" applyFont="1" applyFill="1" applyBorder="1" applyAlignment="1" applyProtection="1">
      <alignment vertical="center"/>
      <protection locked="0"/>
    </xf>
    <xf numFmtId="37" fontId="9" fillId="0" borderId="65" xfId="30" applyFont="1" applyFill="1" applyBorder="1" applyAlignment="1" applyProtection="1">
      <alignment vertical="center"/>
      <protection/>
    </xf>
    <xf numFmtId="37" fontId="9" fillId="3" borderId="57" xfId="30" applyFont="1" applyFill="1" applyBorder="1" applyAlignment="1" applyProtection="1">
      <alignment vertical="center"/>
      <protection locked="0"/>
    </xf>
    <xf numFmtId="37" fontId="9" fillId="0" borderId="57" xfId="30" applyFont="1" applyFill="1" applyBorder="1" applyAlignment="1" applyProtection="1">
      <alignment vertical="center"/>
      <protection/>
    </xf>
    <xf numFmtId="37" fontId="9" fillId="4" borderId="66" xfId="30" applyFont="1" applyFill="1" applyBorder="1" applyAlignment="1" applyProtection="1">
      <alignment vertical="center"/>
      <protection locked="0"/>
    </xf>
    <xf numFmtId="37" fontId="9" fillId="4" borderId="67" xfId="30" applyFont="1" applyFill="1" applyBorder="1" applyAlignment="1" applyProtection="1">
      <alignment vertical="center"/>
      <protection locked="0"/>
    </xf>
    <xf numFmtId="37" fontId="1" fillId="4" borderId="68" xfId="30" applyFont="1" applyFill="1" applyBorder="1" applyAlignment="1">
      <alignment vertical="center"/>
      <protection/>
    </xf>
    <xf numFmtId="37" fontId="15" fillId="4" borderId="68" xfId="30" applyFont="1" applyFill="1" applyBorder="1" applyAlignment="1" applyProtection="1">
      <alignment vertical="center"/>
      <protection locked="0"/>
    </xf>
    <xf numFmtId="37" fontId="9" fillId="4" borderId="67" xfId="30" applyFont="1" applyFill="1" applyBorder="1" applyAlignment="1" applyProtection="1">
      <alignment vertical="center"/>
      <protection/>
    </xf>
    <xf numFmtId="37" fontId="9" fillId="4" borderId="64" xfId="30" applyFont="1" applyFill="1" applyBorder="1" applyAlignment="1" applyProtection="1">
      <alignment vertical="center"/>
      <protection locked="0"/>
    </xf>
    <xf numFmtId="37" fontId="9" fillId="4" borderId="69" xfId="30" applyFont="1" applyFill="1" applyBorder="1" applyAlignment="1" applyProtection="1">
      <alignment vertical="center"/>
      <protection locked="0"/>
    </xf>
    <xf numFmtId="37" fontId="9" fillId="0" borderId="67" xfId="30" applyFont="1" applyFill="1" applyBorder="1" applyAlignment="1" applyProtection="1">
      <alignment vertical="center"/>
      <protection locked="0"/>
    </xf>
    <xf numFmtId="37" fontId="9" fillId="0" borderId="64" xfId="30" applyFont="1" applyFill="1" applyBorder="1" applyAlignment="1" applyProtection="1">
      <alignment vertical="center"/>
      <protection locked="0"/>
    </xf>
    <xf numFmtId="37" fontId="9" fillId="0" borderId="67" xfId="30" applyFont="1" applyFill="1" applyBorder="1" applyAlignment="1" applyProtection="1">
      <alignment vertical="center"/>
      <protection/>
    </xf>
    <xf numFmtId="37" fontId="9" fillId="3" borderId="64" xfId="30" applyFont="1" applyFill="1" applyBorder="1" applyAlignment="1" applyProtection="1">
      <alignment vertical="center"/>
      <protection locked="0"/>
    </xf>
    <xf numFmtId="37" fontId="9" fillId="0" borderId="64" xfId="30" applyFont="1" applyFill="1" applyBorder="1" applyAlignment="1" applyProtection="1">
      <alignment vertical="center"/>
      <protection/>
    </xf>
    <xf numFmtId="37" fontId="9" fillId="3" borderId="60" xfId="30" applyFont="1" applyFill="1" applyBorder="1" applyAlignment="1" applyProtection="1">
      <alignment vertical="center"/>
      <protection locked="0"/>
    </xf>
    <xf numFmtId="37" fontId="9" fillId="3" borderId="49" xfId="30" applyFont="1" applyFill="1" applyBorder="1" applyAlignment="1" applyProtection="1">
      <alignment vertical="center"/>
      <protection locked="0"/>
    </xf>
    <xf numFmtId="37" fontId="12" fillId="0" borderId="16" xfId="29" applyFont="1" applyFill="1" applyBorder="1" applyAlignment="1">
      <alignment horizontal="centerContinuous" vertical="center"/>
      <protection/>
    </xf>
    <xf numFmtId="37" fontId="9" fillId="3" borderId="60" xfId="30" applyFont="1" applyFill="1" applyBorder="1" applyAlignment="1" applyProtection="1">
      <alignment vertical="center"/>
      <protection/>
    </xf>
    <xf numFmtId="37" fontId="9" fillId="3" borderId="49" xfId="30" applyFont="1" applyFill="1" applyBorder="1" applyAlignment="1" applyProtection="1">
      <alignment vertical="center"/>
      <protection/>
    </xf>
    <xf numFmtId="37" fontId="9" fillId="3" borderId="57" xfId="30" applyFont="1" applyFill="1" applyBorder="1" applyAlignment="1" applyProtection="1">
      <alignment vertical="center"/>
      <protection/>
    </xf>
    <xf numFmtId="37" fontId="9" fillId="3" borderId="64" xfId="30" applyFont="1" applyFill="1" applyBorder="1" applyAlignment="1" applyProtection="1">
      <alignment vertical="center"/>
      <protection/>
    </xf>
    <xf numFmtId="37" fontId="7" fillId="0" borderId="70" xfId="30" applyFont="1" applyFill="1" applyBorder="1" applyAlignment="1" applyProtection="1">
      <alignment vertical="center"/>
      <protection locked="0"/>
    </xf>
    <xf numFmtId="37" fontId="7" fillId="0" borderId="12" xfId="30" applyFont="1" applyFill="1" applyBorder="1" applyAlignment="1" applyProtection="1">
      <alignment vertical="center"/>
      <protection locked="0"/>
    </xf>
    <xf numFmtId="37" fontId="7" fillId="0" borderId="12" xfId="30" applyFont="1" applyFill="1" applyBorder="1" applyAlignment="1" applyProtection="1" quotePrefix="1">
      <alignment horizontal="left" vertical="center"/>
      <protection locked="0"/>
    </xf>
    <xf numFmtId="37" fontId="9" fillId="4" borderId="29" xfId="29" applyFont="1" applyFill="1" applyBorder="1" applyAlignment="1">
      <alignment horizontal="center" vertical="center"/>
      <protection/>
    </xf>
    <xf numFmtId="37" fontId="9" fillId="4" borderId="14" xfId="29" applyFont="1" applyFill="1" applyBorder="1" applyAlignment="1" applyProtection="1">
      <alignment vertical="center"/>
      <protection locked="0"/>
    </xf>
    <xf numFmtId="37" fontId="9" fillId="0" borderId="71" xfId="30" applyFont="1" applyFill="1" applyBorder="1" applyAlignment="1" applyProtection="1">
      <alignment horizontal="centerContinuous" vertical="center"/>
      <protection/>
    </xf>
    <xf numFmtId="37" fontId="1" fillId="0" borderId="0" xfId="30" applyFont="1" applyBorder="1" applyAlignment="1">
      <alignment horizontal="centerContinuous" vertical="center"/>
      <protection/>
    </xf>
    <xf numFmtId="37" fontId="1" fillId="0" borderId="0" xfId="30" applyFont="1" applyBorder="1" applyAlignment="1">
      <alignment horizontal="centerContinuous" vertical="center"/>
      <protection/>
    </xf>
    <xf numFmtId="37" fontId="0" fillId="0" borderId="71" xfId="28" applyFont="1" applyFill="1" applyBorder="1" applyAlignment="1" applyProtection="1">
      <alignment horizontal="left" vertical="center"/>
      <protection/>
    </xf>
    <xf numFmtId="37" fontId="0" fillId="0" borderId="38" xfId="28" applyFont="1" applyFill="1" applyBorder="1" applyAlignment="1" applyProtection="1">
      <alignment horizontal="left" vertical="center"/>
      <protection/>
    </xf>
    <xf numFmtId="37" fontId="0" fillId="0" borderId="38" xfId="30" applyFont="1" applyBorder="1" applyAlignment="1" applyProtection="1">
      <alignment horizontal="center" vertical="center"/>
      <protection/>
    </xf>
    <xf numFmtId="37" fontId="0" fillId="0" borderId="38" xfId="30" applyFont="1" applyBorder="1" applyAlignment="1" applyProtection="1">
      <alignment horizontal="left" vertical="center"/>
      <protection/>
    </xf>
    <xf numFmtId="37" fontId="7" fillId="0" borderId="37" xfId="28" applyFont="1" applyFill="1" applyBorder="1" applyAlignment="1" applyProtection="1">
      <alignment horizontal="right" vertical="center"/>
      <protection/>
    </xf>
    <xf numFmtId="37" fontId="9" fillId="3" borderId="71" xfId="29" applyFont="1" applyFill="1" applyBorder="1" applyAlignment="1" applyProtection="1">
      <alignment horizontal="centerContinuous" vertical="center"/>
      <protection locked="0"/>
    </xf>
    <xf numFmtId="37" fontId="9" fillId="3" borderId="37" xfId="29" applyFont="1" applyFill="1" applyBorder="1" applyAlignment="1" applyProtection="1">
      <alignment horizontal="centerContinuous" vertical="center"/>
      <protection locked="0"/>
    </xf>
    <xf numFmtId="37" fontId="12" fillId="0" borderId="16" xfId="29" applyFont="1" applyFill="1" applyBorder="1" applyAlignment="1">
      <alignment horizontal="centerContinuous" vertical="center" wrapText="1"/>
      <protection/>
    </xf>
    <xf numFmtId="37" fontId="12" fillId="0" borderId="4" xfId="29" applyFont="1" applyFill="1" applyBorder="1" applyAlignment="1">
      <alignment horizontal="centerContinuous" vertical="center" wrapText="1"/>
      <protection/>
    </xf>
    <xf numFmtId="37" fontId="11" fillId="5" borderId="12" xfId="28" applyFont="1" applyFill="1" applyBorder="1" applyAlignment="1" applyProtection="1">
      <alignment horizontal="center" vertical="center"/>
      <protection/>
    </xf>
    <xf numFmtId="37" fontId="11" fillId="5" borderId="48" xfId="28" applyFont="1" applyFill="1" applyBorder="1" applyAlignment="1" applyProtection="1">
      <alignment horizontal="centerContinuous" vertical="center"/>
      <protection/>
    </xf>
    <xf numFmtId="37" fontId="11" fillId="5" borderId="72" xfId="28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wrapText="1"/>
    </xf>
    <xf numFmtId="0" fontId="17" fillId="0" borderId="15" xfId="0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7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16" fillId="0" borderId="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2" xfId="0" applyBorder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2" borderId="71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7" xfId="0" applyNumberFormat="1" applyFill="1" applyBorder="1" applyAlignment="1">
      <alignment/>
    </xf>
    <xf numFmtId="37" fontId="0" fillId="2" borderId="33" xfId="30" applyFont="1" applyFill="1" applyBorder="1" applyAlignment="1">
      <alignment vertical="center"/>
      <protection/>
    </xf>
    <xf numFmtId="37" fontId="0" fillId="2" borderId="34" xfId="30" applyFont="1" applyFill="1" applyBorder="1" applyAlignment="1">
      <alignment vertical="center"/>
      <protection/>
    </xf>
    <xf numFmtId="37" fontId="18" fillId="2" borderId="32" xfId="30" applyFont="1" applyFill="1" applyBorder="1" applyAlignment="1">
      <alignment vertical="center"/>
      <protection/>
    </xf>
    <xf numFmtId="37" fontId="17" fillId="2" borderId="32" xfId="30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180" fontId="9" fillId="7" borderId="31" xfId="29" applyNumberFormat="1" applyFont="1" applyFill="1" applyBorder="1" applyAlignment="1" applyProtection="1">
      <alignment horizontal="centerContinuous" vertical="center"/>
      <protection locked="0"/>
    </xf>
    <xf numFmtId="0" fontId="0" fillId="2" borderId="0" xfId="0" applyFill="1" applyAlignment="1">
      <alignment/>
    </xf>
  </cellXfs>
  <cellStyles count="1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Followed Hyperlink" xfId="23"/>
    <cellStyle name="Comma" xfId="24"/>
    <cellStyle name="Comma [0]" xfId="25"/>
    <cellStyle name="Currency" xfId="26"/>
    <cellStyle name="Currency [0]" xfId="27"/>
    <cellStyle name="Normal_GASTOS" xfId="28"/>
    <cellStyle name="Normal_INGRESOS" xfId="29"/>
    <cellStyle name="Normal_PAC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161925</xdr:rowOff>
    </xdr:from>
    <xdr:to>
      <xdr:col>1</xdr:col>
      <xdr:colOff>161925</xdr:colOff>
      <xdr:row>1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95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647700</xdr:colOff>
      <xdr:row>1</xdr:row>
      <xdr:rowOff>285750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04800"/>
          <a:ext cx="18288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17</xdr:col>
      <xdr:colOff>0</xdr:colOff>
      <xdr:row>1</xdr:row>
      <xdr:rowOff>0</xdr:rowOff>
    </xdr:from>
    <xdr:to>
      <xdr:col>23</xdr:col>
      <xdr:colOff>9525</xdr:colOff>
      <xdr:row>1</xdr:row>
      <xdr:rowOff>285750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304800"/>
          <a:ext cx="95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257175</xdr:colOff>
      <xdr:row>1</xdr:row>
      <xdr:rowOff>276225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382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809625</xdr:colOff>
      <xdr:row>0</xdr:row>
      <xdr:rowOff>266700</xdr:rowOff>
    </xdr:from>
    <xdr:to>
      <xdr:col>16</xdr:col>
      <xdr:colOff>123825</xdr:colOff>
      <xdr:row>1</xdr:row>
      <xdr:rowOff>266700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66700"/>
          <a:ext cx="2647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2171700</xdr:colOff>
      <xdr:row>0</xdr:row>
      <xdr:rowOff>209550</xdr:rowOff>
    </xdr:from>
    <xdr:to>
      <xdr:col>8</xdr:col>
      <xdr:colOff>1143000</xdr:colOff>
      <xdr:row>2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09550"/>
          <a:ext cx="18097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2</xdr:row>
      <xdr:rowOff>9525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381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9525</xdr:colOff>
      <xdr:row>1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04800"/>
          <a:ext cx="95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95250</xdr:rowOff>
    </xdr:from>
    <xdr:to>
      <xdr:col>2</xdr:col>
      <xdr:colOff>38100</xdr:colOff>
      <xdr:row>1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5250"/>
          <a:ext cx="495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95250</xdr:colOff>
      <xdr:row>0</xdr:row>
      <xdr:rowOff>266700</xdr:rowOff>
    </xdr:from>
    <xdr:to>
      <xdr:col>9</xdr:col>
      <xdr:colOff>9525</xdr:colOff>
      <xdr:row>1</xdr:row>
      <xdr:rowOff>276225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66700"/>
          <a:ext cx="10287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1</xdr:row>
      <xdr:rowOff>0</xdr:rowOff>
    </xdr:from>
    <xdr:to>
      <xdr:col>9</xdr:col>
      <xdr:colOff>57150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61925"/>
          <a:ext cx="13811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95250</xdr:rowOff>
    </xdr:from>
    <xdr:to>
      <xdr:col>2</xdr:col>
      <xdr:colOff>38100</xdr:colOff>
      <xdr:row>2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5250"/>
          <a:ext cx="495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619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95250</xdr:rowOff>
    </xdr:from>
    <xdr:to>
      <xdr:col>0</xdr:col>
      <xdr:colOff>552450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495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847725</xdr:colOff>
      <xdr:row>6</xdr:row>
      <xdr:rowOff>0</xdr:rowOff>
    </xdr:from>
    <xdr:to>
      <xdr:col>4</xdr:col>
      <xdr:colOff>9525</xdr:colOff>
      <xdr:row>7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019175"/>
          <a:ext cx="7810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rmc421\doc.%20mtcm\Mis%20Documentos\Contralor&#237;a\Contralor&#237;a%20Rendici&#243;n%20Cuenta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34"/>
  <sheetViews>
    <sheetView zoomScale="75" zoomScaleNormal="75" workbookViewId="0" topLeftCell="A1">
      <selection activeCell="A1" sqref="A1"/>
    </sheetView>
  </sheetViews>
  <sheetFormatPr defaultColWidth="16.7109375" defaultRowHeight="12.75"/>
  <cols>
    <col min="1" max="1" width="5.7109375" style="3" customWidth="1"/>
    <col min="2" max="2" width="43.00390625" style="3" customWidth="1"/>
    <col min="3" max="3" width="7.8515625" style="3" customWidth="1"/>
    <col min="4" max="7" width="17.7109375" style="3" hidden="1" customWidth="1"/>
    <col min="8" max="11" width="17.7109375" style="3" customWidth="1"/>
    <col min="12" max="17" width="17.7109375" style="3" hidden="1" customWidth="1"/>
    <col min="18" max="18" width="15.57421875" style="3" hidden="1" customWidth="1"/>
    <col min="19" max="22" width="17.7109375" style="3" hidden="1" customWidth="1"/>
    <col min="23" max="23" width="16.57421875" style="3" hidden="1" customWidth="1"/>
    <col min="24" max="25" width="17.7109375" style="3" customWidth="1"/>
    <col min="26" max="16384" width="16.7109375" style="3" customWidth="1"/>
  </cols>
  <sheetData>
    <row r="1" spans="1:25" ht="24" customHeight="1">
      <c r="A1" s="27"/>
      <c r="B1" s="28" t="s">
        <v>0</v>
      </c>
      <c r="C1" s="29"/>
      <c r="D1" s="30" t="s">
        <v>1</v>
      </c>
      <c r="E1" s="31" t="s">
        <v>2</v>
      </c>
      <c r="F1" s="32"/>
      <c r="G1" s="33" t="s">
        <v>3</v>
      </c>
      <c r="H1" s="58" t="s">
        <v>1</v>
      </c>
      <c r="I1" s="59" t="s">
        <v>2</v>
      </c>
      <c r="J1" s="60"/>
      <c r="K1" s="86" t="s">
        <v>3</v>
      </c>
      <c r="L1" s="88" t="s">
        <v>4</v>
      </c>
      <c r="M1" s="89" t="s">
        <v>5</v>
      </c>
      <c r="N1" s="89" t="s">
        <v>6</v>
      </c>
      <c r="O1" s="89" t="s">
        <v>7</v>
      </c>
      <c r="P1" s="89" t="s">
        <v>8</v>
      </c>
      <c r="Q1" s="89" t="s">
        <v>9</v>
      </c>
      <c r="R1" s="89" t="s">
        <v>10</v>
      </c>
      <c r="S1" s="89" t="s">
        <v>11</v>
      </c>
      <c r="T1" s="89" t="s">
        <v>12</v>
      </c>
      <c r="U1" s="89" t="s">
        <v>13</v>
      </c>
      <c r="V1" s="89" t="s">
        <v>14</v>
      </c>
      <c r="W1" s="89" t="s">
        <v>15</v>
      </c>
      <c r="X1" s="268" t="s">
        <v>16</v>
      </c>
      <c r="Y1" s="270" t="s">
        <v>17</v>
      </c>
    </row>
    <row r="2" spans="1:25" ht="24" customHeight="1" thickBot="1">
      <c r="A2" s="4"/>
      <c r="B2" s="5" t="s">
        <v>18</v>
      </c>
      <c r="C2" s="6"/>
      <c r="D2" s="7" t="s">
        <v>19</v>
      </c>
      <c r="E2" s="8"/>
      <c r="F2" s="9"/>
      <c r="G2" s="18" t="s">
        <v>20</v>
      </c>
      <c r="H2" s="61" t="s">
        <v>19</v>
      </c>
      <c r="I2" s="62"/>
      <c r="J2" s="63"/>
      <c r="K2" s="87" t="s">
        <v>20</v>
      </c>
      <c r="L2" s="90" t="s">
        <v>21</v>
      </c>
      <c r="M2" s="91" t="s">
        <v>21</v>
      </c>
      <c r="N2" s="91" t="s">
        <v>21</v>
      </c>
      <c r="O2" s="91" t="s">
        <v>21</v>
      </c>
      <c r="P2" s="91" t="s">
        <v>21</v>
      </c>
      <c r="Q2" s="91" t="s">
        <v>21</v>
      </c>
      <c r="R2" s="91" t="s">
        <v>21</v>
      </c>
      <c r="S2" s="91" t="s">
        <v>21</v>
      </c>
      <c r="T2" s="91" t="s">
        <v>21</v>
      </c>
      <c r="U2" s="91" t="s">
        <v>21</v>
      </c>
      <c r="V2" s="91" t="s">
        <v>21</v>
      </c>
      <c r="W2" s="91" t="s">
        <v>21</v>
      </c>
      <c r="X2" s="269" t="s">
        <v>21</v>
      </c>
      <c r="Y2" s="271">
        <f ca="1">TODAY()-4</f>
        <v>37833</v>
      </c>
    </row>
    <row r="3" spans="1:25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.5" thickBot="1">
      <c r="A4" s="44"/>
      <c r="B4" s="45"/>
      <c r="C4" s="65"/>
      <c r="D4" s="68" t="s">
        <v>22</v>
      </c>
      <c r="E4" s="64" t="s">
        <v>23</v>
      </c>
      <c r="F4" s="64"/>
      <c r="G4" s="47" t="s">
        <v>22</v>
      </c>
      <c r="H4" s="68" t="s">
        <v>22</v>
      </c>
      <c r="I4" s="64" t="s">
        <v>23</v>
      </c>
      <c r="J4" s="64"/>
      <c r="K4" s="47" t="s">
        <v>22</v>
      </c>
      <c r="L4" s="68" t="s">
        <v>24</v>
      </c>
      <c r="M4" s="46" t="s">
        <v>24</v>
      </c>
      <c r="N4" s="46" t="s">
        <v>24</v>
      </c>
      <c r="O4" s="46" t="s">
        <v>24</v>
      </c>
      <c r="P4" s="46" t="s">
        <v>24</v>
      </c>
      <c r="Q4" s="46" t="s">
        <v>24</v>
      </c>
      <c r="R4" s="46" t="s">
        <v>24</v>
      </c>
      <c r="S4" s="46" t="s">
        <v>24</v>
      </c>
      <c r="T4" s="46" t="s">
        <v>24</v>
      </c>
      <c r="U4" s="46" t="s">
        <v>24</v>
      </c>
      <c r="V4" s="46" t="s">
        <v>24</v>
      </c>
      <c r="W4" s="46" t="s">
        <v>24</v>
      </c>
      <c r="X4" s="47" t="s">
        <v>25</v>
      </c>
      <c r="Y4" s="47" t="s">
        <v>26</v>
      </c>
    </row>
    <row r="5" spans="1:25" ht="12.75">
      <c r="A5" s="48" t="s">
        <v>27</v>
      </c>
      <c r="B5" s="49" t="s">
        <v>28</v>
      </c>
      <c r="C5" s="66" t="s">
        <v>29</v>
      </c>
      <c r="D5" s="48" t="s">
        <v>30</v>
      </c>
      <c r="E5" s="49" t="s">
        <v>31</v>
      </c>
      <c r="F5" s="49" t="s">
        <v>32</v>
      </c>
      <c r="G5" s="69" t="s">
        <v>33</v>
      </c>
      <c r="H5" s="48" t="s">
        <v>30</v>
      </c>
      <c r="I5" s="49" t="s">
        <v>31</v>
      </c>
      <c r="J5" s="49" t="s">
        <v>32</v>
      </c>
      <c r="K5" s="69" t="s">
        <v>33</v>
      </c>
      <c r="L5" s="48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9" t="s">
        <v>9</v>
      </c>
      <c r="R5" s="49" t="s">
        <v>10</v>
      </c>
      <c r="S5" s="49" t="s">
        <v>11</v>
      </c>
      <c r="T5" s="49" t="s">
        <v>12</v>
      </c>
      <c r="U5" s="49" t="s">
        <v>13</v>
      </c>
      <c r="V5" s="49" t="s">
        <v>14</v>
      </c>
      <c r="W5" s="49" t="s">
        <v>15</v>
      </c>
      <c r="X5" s="69" t="s">
        <v>34</v>
      </c>
      <c r="Y5" s="50"/>
    </row>
    <row r="6" spans="1:25" ht="13.5" thickBot="1">
      <c r="A6" s="51"/>
      <c r="B6" s="52"/>
      <c r="C6" s="67" t="s">
        <v>35</v>
      </c>
      <c r="D6" s="70" t="s">
        <v>36</v>
      </c>
      <c r="E6" s="53" t="s">
        <v>37</v>
      </c>
      <c r="F6" s="53" t="s">
        <v>38</v>
      </c>
      <c r="G6" s="54" t="s">
        <v>39</v>
      </c>
      <c r="H6" s="70" t="s">
        <v>36</v>
      </c>
      <c r="I6" s="53" t="s">
        <v>37</v>
      </c>
      <c r="J6" s="53" t="s">
        <v>38</v>
      </c>
      <c r="K6" s="54" t="s">
        <v>39</v>
      </c>
      <c r="L6" s="70" t="s">
        <v>40</v>
      </c>
      <c r="M6" s="53" t="s">
        <v>40</v>
      </c>
      <c r="N6" s="53" t="s">
        <v>40</v>
      </c>
      <c r="O6" s="53" t="s">
        <v>40</v>
      </c>
      <c r="P6" s="53" t="s">
        <v>40</v>
      </c>
      <c r="Q6" s="53" t="s">
        <v>40</v>
      </c>
      <c r="R6" s="53" t="s">
        <v>40</v>
      </c>
      <c r="S6" s="53" t="s">
        <v>40</v>
      </c>
      <c r="T6" s="53" t="s">
        <v>40</v>
      </c>
      <c r="U6" s="53" t="s">
        <v>40</v>
      </c>
      <c r="V6" s="53" t="s">
        <v>40</v>
      </c>
      <c r="W6" s="53" t="s">
        <v>40</v>
      </c>
      <c r="X6" s="54" t="s">
        <v>41</v>
      </c>
      <c r="Y6" s="54" t="s">
        <v>42</v>
      </c>
    </row>
    <row r="7" spans="1:25" ht="15" customHeight="1">
      <c r="A7" s="55" t="s">
        <v>43</v>
      </c>
      <c r="B7" s="56" t="s">
        <v>44</v>
      </c>
      <c r="C7" s="57"/>
      <c r="D7" s="71">
        <f aca="true" t="shared" si="0" ref="D7:S7">+D8+D21</f>
        <v>89255854437</v>
      </c>
      <c r="E7" s="56">
        <f t="shared" si="0"/>
        <v>4288500000</v>
      </c>
      <c r="F7" s="56">
        <f t="shared" si="0"/>
        <v>0</v>
      </c>
      <c r="G7" s="57">
        <f t="shared" si="0"/>
        <v>93544354437</v>
      </c>
      <c r="H7" s="71">
        <f t="shared" si="0"/>
        <v>89255854437</v>
      </c>
      <c r="I7" s="56">
        <f t="shared" si="0"/>
        <v>4288500000</v>
      </c>
      <c r="J7" s="56">
        <f t="shared" si="0"/>
        <v>0</v>
      </c>
      <c r="K7" s="57">
        <f>+K8+K21</f>
        <v>93544354437</v>
      </c>
      <c r="L7" s="71">
        <f t="shared" si="0"/>
        <v>6534951742</v>
      </c>
      <c r="M7" s="56">
        <f t="shared" si="0"/>
        <v>6490221751</v>
      </c>
      <c r="N7" s="56">
        <f t="shared" si="0"/>
        <v>7245790547</v>
      </c>
      <c r="O7" s="56">
        <f t="shared" si="0"/>
        <v>7029418805</v>
      </c>
      <c r="P7" s="56">
        <f t="shared" si="0"/>
        <v>7649385354</v>
      </c>
      <c r="Q7" s="56">
        <f t="shared" si="0"/>
        <v>7843875332</v>
      </c>
      <c r="R7" s="56">
        <f t="shared" si="0"/>
        <v>7768505934</v>
      </c>
      <c r="S7" s="56">
        <f t="shared" si="0"/>
        <v>7432954682</v>
      </c>
      <c r="T7" s="56">
        <f aca="true" t="shared" si="1" ref="T7:Y7">+T8+T21</f>
        <v>7326123797</v>
      </c>
      <c r="U7" s="56">
        <f t="shared" si="1"/>
        <v>10259006986</v>
      </c>
      <c r="V7" s="56">
        <f t="shared" si="1"/>
        <v>6626068999</v>
      </c>
      <c r="W7" s="56">
        <f>+W8+W21</f>
        <v>13545998643</v>
      </c>
      <c r="X7" s="57">
        <f t="shared" si="1"/>
        <v>95752302572</v>
      </c>
      <c r="Y7" s="57">
        <f t="shared" si="1"/>
        <v>-2207948135</v>
      </c>
    </row>
    <row r="8" spans="1:25" ht="15" customHeight="1">
      <c r="A8" s="41" t="s">
        <v>45</v>
      </c>
      <c r="B8" s="42" t="s">
        <v>46</v>
      </c>
      <c r="C8" s="43"/>
      <c r="D8" s="72">
        <f aca="true" t="shared" si="2" ref="D8:S8">+D9+D12</f>
        <v>63996154437</v>
      </c>
      <c r="E8" s="42">
        <f t="shared" si="2"/>
        <v>0</v>
      </c>
      <c r="F8" s="42">
        <f t="shared" si="2"/>
        <v>0</v>
      </c>
      <c r="G8" s="73">
        <f t="shared" si="2"/>
        <v>63996154437</v>
      </c>
      <c r="H8" s="72">
        <f t="shared" si="2"/>
        <v>63996154437</v>
      </c>
      <c r="I8" s="42">
        <f t="shared" si="2"/>
        <v>0</v>
      </c>
      <c r="J8" s="42">
        <f t="shared" si="2"/>
        <v>0</v>
      </c>
      <c r="K8" s="73">
        <f>+K9+K12</f>
        <v>63996154437</v>
      </c>
      <c r="L8" s="72">
        <f t="shared" si="2"/>
        <v>4608716498</v>
      </c>
      <c r="M8" s="42">
        <f t="shared" si="2"/>
        <v>4452646815</v>
      </c>
      <c r="N8" s="42">
        <f t="shared" si="2"/>
        <v>5110535474</v>
      </c>
      <c r="O8" s="42">
        <f t="shared" si="2"/>
        <v>4880209134</v>
      </c>
      <c r="P8" s="42">
        <f t="shared" si="2"/>
        <v>5387482518</v>
      </c>
      <c r="Q8" s="42">
        <f t="shared" si="2"/>
        <v>5450159076</v>
      </c>
      <c r="R8" s="42">
        <f t="shared" si="2"/>
        <v>5491000594</v>
      </c>
      <c r="S8" s="42">
        <f t="shared" si="2"/>
        <v>5196282525</v>
      </c>
      <c r="T8" s="42">
        <f aca="true" t="shared" si="3" ref="T8:Y8">+T9+T12</f>
        <v>5150767871</v>
      </c>
      <c r="U8" s="42">
        <f t="shared" si="3"/>
        <v>5815972863</v>
      </c>
      <c r="V8" s="42">
        <f t="shared" si="3"/>
        <v>5759292258</v>
      </c>
      <c r="W8" s="42">
        <f t="shared" si="3"/>
        <v>6635600738</v>
      </c>
      <c r="X8" s="73">
        <f t="shared" si="3"/>
        <v>63938666364</v>
      </c>
      <c r="Y8" s="43">
        <f t="shared" si="3"/>
        <v>57488073</v>
      </c>
    </row>
    <row r="9" spans="1:25" ht="15" customHeight="1">
      <c r="A9" s="11" t="s">
        <v>47</v>
      </c>
      <c r="B9" s="12" t="s">
        <v>48</v>
      </c>
      <c r="C9" s="13"/>
      <c r="D9" s="74">
        <f aca="true" t="shared" si="4" ref="D9:S9">SUM(D10:D11)</f>
        <v>0</v>
      </c>
      <c r="E9" s="12">
        <f t="shared" si="4"/>
        <v>0</v>
      </c>
      <c r="F9" s="12">
        <f t="shared" si="4"/>
        <v>0</v>
      </c>
      <c r="G9" s="75">
        <f t="shared" si="4"/>
        <v>0</v>
      </c>
      <c r="H9" s="74">
        <f t="shared" si="4"/>
        <v>0</v>
      </c>
      <c r="I9" s="12">
        <f t="shared" si="4"/>
        <v>0</v>
      </c>
      <c r="J9" s="12">
        <f t="shared" si="4"/>
        <v>0</v>
      </c>
      <c r="K9" s="75">
        <f>SUM(K10:K11)</f>
        <v>0</v>
      </c>
      <c r="L9" s="74">
        <f t="shared" si="4"/>
        <v>0</v>
      </c>
      <c r="M9" s="12">
        <f t="shared" si="4"/>
        <v>0</v>
      </c>
      <c r="N9" s="12">
        <f t="shared" si="4"/>
        <v>0</v>
      </c>
      <c r="O9" s="12">
        <f t="shared" si="4"/>
        <v>0</v>
      </c>
      <c r="P9" s="12">
        <f t="shared" si="4"/>
        <v>0</v>
      </c>
      <c r="Q9" s="12">
        <f t="shared" si="4"/>
        <v>0</v>
      </c>
      <c r="R9" s="12">
        <f t="shared" si="4"/>
        <v>0</v>
      </c>
      <c r="S9" s="12">
        <f t="shared" si="4"/>
        <v>0</v>
      </c>
      <c r="T9" s="12">
        <f aca="true" t="shared" si="5" ref="T9:Y9">SUM(T10:T11)</f>
        <v>0</v>
      </c>
      <c r="U9" s="12">
        <f t="shared" si="5"/>
        <v>0</v>
      </c>
      <c r="V9" s="12">
        <f t="shared" si="5"/>
        <v>0</v>
      </c>
      <c r="W9" s="12">
        <f t="shared" si="5"/>
        <v>0</v>
      </c>
      <c r="X9" s="82">
        <f t="shared" si="5"/>
        <v>0</v>
      </c>
      <c r="Y9" s="13">
        <f t="shared" si="5"/>
        <v>0</v>
      </c>
    </row>
    <row r="10" spans="1:25" ht="15" customHeight="1">
      <c r="A10" s="11" t="s">
        <v>49</v>
      </c>
      <c r="B10" s="12" t="s">
        <v>50</v>
      </c>
      <c r="C10" s="13"/>
      <c r="D10" s="76">
        <v>0</v>
      </c>
      <c r="E10" s="14">
        <v>0</v>
      </c>
      <c r="F10" s="14">
        <v>0</v>
      </c>
      <c r="G10" s="75">
        <f>SUM(D10:F10)</f>
        <v>0</v>
      </c>
      <c r="H10" s="76">
        <v>0</v>
      </c>
      <c r="I10" s="14">
        <v>0</v>
      </c>
      <c r="J10" s="14">
        <v>0</v>
      </c>
      <c r="K10" s="75">
        <f>SUM(H10:J10)</f>
        <v>0</v>
      </c>
      <c r="L10" s="76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82">
        <f>W10-V10</f>
        <v>0</v>
      </c>
      <c r="Y10" s="13">
        <f>+K10-X10</f>
        <v>0</v>
      </c>
    </row>
    <row r="11" spans="1:25" ht="15" customHeight="1">
      <c r="A11" s="11" t="s">
        <v>51</v>
      </c>
      <c r="B11" s="12" t="s">
        <v>52</v>
      </c>
      <c r="C11" s="13"/>
      <c r="D11" s="76">
        <v>0</v>
      </c>
      <c r="E11" s="14">
        <v>0</v>
      </c>
      <c r="F11" s="14">
        <v>0</v>
      </c>
      <c r="G11" s="75">
        <f>SUM(D11:F11)</f>
        <v>0</v>
      </c>
      <c r="H11" s="76">
        <v>0</v>
      </c>
      <c r="I11" s="14">
        <v>0</v>
      </c>
      <c r="J11" s="14">
        <v>0</v>
      </c>
      <c r="K11" s="75">
        <f>SUM(H11:J11)</f>
        <v>0</v>
      </c>
      <c r="L11" s="76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82">
        <f>W11-V11</f>
        <v>0</v>
      </c>
      <c r="Y11" s="13">
        <f>+K11-X11</f>
        <v>0</v>
      </c>
    </row>
    <row r="12" spans="1:25" ht="15" customHeight="1">
      <c r="A12" s="11" t="s">
        <v>53</v>
      </c>
      <c r="B12" s="12" t="s">
        <v>54</v>
      </c>
      <c r="C12" s="13"/>
      <c r="D12" s="74">
        <f aca="true" t="shared" si="6" ref="D12:S12">SUM(D13:D20)</f>
        <v>63996154437</v>
      </c>
      <c r="E12" s="12">
        <f t="shared" si="6"/>
        <v>0</v>
      </c>
      <c r="F12" s="12">
        <f t="shared" si="6"/>
        <v>0</v>
      </c>
      <c r="G12" s="75">
        <f t="shared" si="6"/>
        <v>63996154437</v>
      </c>
      <c r="H12" s="74">
        <f t="shared" si="6"/>
        <v>63996154437</v>
      </c>
      <c r="I12" s="12">
        <f t="shared" si="6"/>
        <v>0</v>
      </c>
      <c r="J12" s="12">
        <f t="shared" si="6"/>
        <v>0</v>
      </c>
      <c r="K12" s="75">
        <f>SUM(K13:K20)</f>
        <v>63996154437</v>
      </c>
      <c r="L12" s="74">
        <f t="shared" si="6"/>
        <v>4608716498</v>
      </c>
      <c r="M12" s="12">
        <f t="shared" si="6"/>
        <v>4452646815</v>
      </c>
      <c r="N12" s="12">
        <f t="shared" si="6"/>
        <v>5110535474</v>
      </c>
      <c r="O12" s="12">
        <f t="shared" si="6"/>
        <v>4880209134</v>
      </c>
      <c r="P12" s="12">
        <f t="shared" si="6"/>
        <v>5387482518</v>
      </c>
      <c r="Q12" s="12">
        <f t="shared" si="6"/>
        <v>5450159076</v>
      </c>
      <c r="R12" s="12">
        <f t="shared" si="6"/>
        <v>5491000594</v>
      </c>
      <c r="S12" s="12">
        <f t="shared" si="6"/>
        <v>5196282525</v>
      </c>
      <c r="T12" s="12">
        <f aca="true" t="shared" si="7" ref="T12:Y12">SUM(T13:T20)</f>
        <v>5150767871</v>
      </c>
      <c r="U12" s="12">
        <f t="shared" si="7"/>
        <v>5815972863</v>
      </c>
      <c r="V12" s="12">
        <f t="shared" si="7"/>
        <v>5759292258</v>
      </c>
      <c r="W12" s="12">
        <f t="shared" si="7"/>
        <v>6635600738</v>
      </c>
      <c r="X12" s="82">
        <f t="shared" si="7"/>
        <v>63938666364</v>
      </c>
      <c r="Y12" s="13">
        <f t="shared" si="7"/>
        <v>57488073</v>
      </c>
    </row>
    <row r="13" spans="1:25" ht="15" customHeight="1">
      <c r="A13" s="11" t="s">
        <v>55</v>
      </c>
      <c r="B13" s="12" t="s">
        <v>56</v>
      </c>
      <c r="C13" s="13"/>
      <c r="D13" s="76">
        <f>K13-E13-F13</f>
        <v>63432154437</v>
      </c>
      <c r="E13" s="15">
        <v>0</v>
      </c>
      <c r="F13" s="15">
        <v>0</v>
      </c>
      <c r="G13" s="75">
        <f aca="true" t="shared" si="8" ref="G13:G20">SUM(D13:F13)</f>
        <v>63432154437</v>
      </c>
      <c r="H13" s="79">
        <f>63996154437-H20</f>
        <v>63432154437</v>
      </c>
      <c r="I13" s="15">
        <v>0</v>
      </c>
      <c r="J13" s="15">
        <v>0</v>
      </c>
      <c r="K13" s="75">
        <f aca="true" t="shared" si="9" ref="K13:K20">SUM(H13:J13)</f>
        <v>63432154437</v>
      </c>
      <c r="L13" s="79">
        <v>4597820701</v>
      </c>
      <c r="M13" s="15">
        <v>4442038428</v>
      </c>
      <c r="N13" s="15">
        <v>5085485658</v>
      </c>
      <c r="O13" s="15">
        <v>4866920392</v>
      </c>
      <c r="P13" s="15">
        <v>5376281386</v>
      </c>
      <c r="Q13" s="15">
        <v>5377880390</v>
      </c>
      <c r="R13" s="15">
        <v>5477610498</v>
      </c>
      <c r="S13" s="15">
        <v>5190360252</v>
      </c>
      <c r="T13" s="15">
        <v>5142322471</v>
      </c>
      <c r="U13" s="15">
        <v>5806991900</v>
      </c>
      <c r="V13" s="15">
        <v>5740977454</v>
      </c>
      <c r="W13" s="15">
        <v>6625459184</v>
      </c>
      <c r="X13" s="82">
        <f>SUM(L13:W13)</f>
        <v>63730148714</v>
      </c>
      <c r="Y13" s="13">
        <f>+K13-X13</f>
        <v>-297994277</v>
      </c>
    </row>
    <row r="14" spans="1:25" ht="15" customHeight="1">
      <c r="A14" s="11" t="s">
        <v>57</v>
      </c>
      <c r="B14" s="12" t="s">
        <v>58</v>
      </c>
      <c r="C14" s="13"/>
      <c r="D14" s="76">
        <f aca="true" t="shared" si="10" ref="D14:D20">K14-E14-F14</f>
        <v>0</v>
      </c>
      <c r="E14" s="15">
        <v>0</v>
      </c>
      <c r="F14" s="15">
        <v>0</v>
      </c>
      <c r="G14" s="75">
        <f t="shared" si="8"/>
        <v>0</v>
      </c>
      <c r="H14" s="79">
        <v>0</v>
      </c>
      <c r="I14" s="15">
        <v>0</v>
      </c>
      <c r="J14" s="15">
        <v>0</v>
      </c>
      <c r="K14" s="75">
        <f t="shared" si="9"/>
        <v>0</v>
      </c>
      <c r="L14" s="79"/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82">
        <f aca="true" t="shared" si="11" ref="X14:X20">SUM(L14:W14)</f>
        <v>0</v>
      </c>
      <c r="Y14" s="13">
        <f aca="true" t="shared" si="12" ref="Y14:Y20">+K14-X14</f>
        <v>0</v>
      </c>
    </row>
    <row r="15" spans="1:25" ht="15" customHeight="1">
      <c r="A15" s="11" t="s">
        <v>59</v>
      </c>
      <c r="B15" s="12" t="s">
        <v>60</v>
      </c>
      <c r="C15" s="13"/>
      <c r="D15" s="76">
        <f t="shared" si="10"/>
        <v>0</v>
      </c>
      <c r="E15" s="14">
        <v>0</v>
      </c>
      <c r="F15" s="14">
        <v>0</v>
      </c>
      <c r="G15" s="75">
        <f t="shared" si="8"/>
        <v>0</v>
      </c>
      <c r="H15" s="76">
        <v>0</v>
      </c>
      <c r="I15" s="14">
        <v>0</v>
      </c>
      <c r="J15" s="14">
        <v>0</v>
      </c>
      <c r="K15" s="75">
        <f t="shared" si="9"/>
        <v>0</v>
      </c>
      <c r="L15" s="76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82">
        <f t="shared" si="11"/>
        <v>0</v>
      </c>
      <c r="Y15" s="13">
        <f t="shared" si="12"/>
        <v>0</v>
      </c>
    </row>
    <row r="16" spans="1:25" ht="15" customHeight="1">
      <c r="A16" s="11" t="s">
        <v>61</v>
      </c>
      <c r="B16" s="12" t="s">
        <v>62</v>
      </c>
      <c r="C16" s="13"/>
      <c r="D16" s="76">
        <f t="shared" si="10"/>
        <v>0</v>
      </c>
      <c r="E16" s="14">
        <v>0</v>
      </c>
      <c r="F16" s="14">
        <v>0</v>
      </c>
      <c r="G16" s="75">
        <f t="shared" si="8"/>
        <v>0</v>
      </c>
      <c r="H16" s="76">
        <v>0</v>
      </c>
      <c r="I16" s="14">
        <v>0</v>
      </c>
      <c r="J16" s="14">
        <v>0</v>
      </c>
      <c r="K16" s="75">
        <f t="shared" si="9"/>
        <v>0</v>
      </c>
      <c r="L16" s="76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82">
        <f t="shared" si="11"/>
        <v>0</v>
      </c>
      <c r="Y16" s="13">
        <f t="shared" si="12"/>
        <v>0</v>
      </c>
    </row>
    <row r="17" spans="1:25" ht="15" customHeight="1">
      <c r="A17" s="11" t="s">
        <v>63</v>
      </c>
      <c r="B17" s="12" t="s">
        <v>64</v>
      </c>
      <c r="C17" s="13"/>
      <c r="D17" s="76">
        <f t="shared" si="10"/>
        <v>0</v>
      </c>
      <c r="E17" s="14">
        <v>0</v>
      </c>
      <c r="F17" s="14">
        <v>0</v>
      </c>
      <c r="G17" s="75">
        <f t="shared" si="8"/>
        <v>0</v>
      </c>
      <c r="H17" s="76">
        <v>0</v>
      </c>
      <c r="I17" s="14">
        <v>0</v>
      </c>
      <c r="J17" s="14">
        <v>0</v>
      </c>
      <c r="K17" s="75">
        <f t="shared" si="9"/>
        <v>0</v>
      </c>
      <c r="L17" s="76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82">
        <f t="shared" si="11"/>
        <v>0</v>
      </c>
      <c r="Y17" s="13">
        <f t="shared" si="12"/>
        <v>0</v>
      </c>
    </row>
    <row r="18" spans="1:25" ht="15" customHeight="1">
      <c r="A18" s="11" t="s">
        <v>65</v>
      </c>
      <c r="B18" s="12" t="s">
        <v>66</v>
      </c>
      <c r="C18" s="13"/>
      <c r="D18" s="76">
        <f t="shared" si="10"/>
        <v>0</v>
      </c>
      <c r="E18" s="14">
        <v>0</v>
      </c>
      <c r="F18" s="14">
        <v>0</v>
      </c>
      <c r="G18" s="75">
        <f t="shared" si="8"/>
        <v>0</v>
      </c>
      <c r="H18" s="76">
        <v>0</v>
      </c>
      <c r="I18" s="14">
        <v>0</v>
      </c>
      <c r="J18" s="14">
        <v>0</v>
      </c>
      <c r="K18" s="75">
        <f t="shared" si="9"/>
        <v>0</v>
      </c>
      <c r="L18" s="76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82">
        <f t="shared" si="11"/>
        <v>0</v>
      </c>
      <c r="Y18" s="13">
        <f t="shared" si="12"/>
        <v>0</v>
      </c>
    </row>
    <row r="19" spans="1:25" ht="15" customHeight="1">
      <c r="A19" s="11" t="s">
        <v>67</v>
      </c>
      <c r="B19" s="12" t="s">
        <v>68</v>
      </c>
      <c r="C19" s="13"/>
      <c r="D19" s="76">
        <f t="shared" si="10"/>
        <v>0</v>
      </c>
      <c r="E19" s="14">
        <v>0</v>
      </c>
      <c r="F19" s="14">
        <v>0</v>
      </c>
      <c r="G19" s="75">
        <f t="shared" si="8"/>
        <v>0</v>
      </c>
      <c r="H19" s="76">
        <v>0</v>
      </c>
      <c r="I19" s="14">
        <v>0</v>
      </c>
      <c r="J19" s="14">
        <v>0</v>
      </c>
      <c r="K19" s="75">
        <f t="shared" si="9"/>
        <v>0</v>
      </c>
      <c r="L19" s="76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82">
        <f t="shared" si="11"/>
        <v>0</v>
      </c>
      <c r="Y19" s="13">
        <f t="shared" si="12"/>
        <v>0</v>
      </c>
    </row>
    <row r="20" spans="1:25" ht="15" customHeight="1">
      <c r="A20" s="11" t="s">
        <v>69</v>
      </c>
      <c r="B20" s="12" t="s">
        <v>70</v>
      </c>
      <c r="C20" s="13"/>
      <c r="D20" s="76">
        <f t="shared" si="10"/>
        <v>564000000</v>
      </c>
      <c r="E20" s="15">
        <v>0</v>
      </c>
      <c r="F20" s="15">
        <v>0</v>
      </c>
      <c r="G20" s="75">
        <f t="shared" si="8"/>
        <v>564000000</v>
      </c>
      <c r="H20" s="79">
        <v>564000000</v>
      </c>
      <c r="I20" s="15">
        <v>0</v>
      </c>
      <c r="J20" s="15">
        <v>0</v>
      </c>
      <c r="K20" s="75">
        <f t="shared" si="9"/>
        <v>564000000</v>
      </c>
      <c r="L20" s="79">
        <f>9997357+898440</f>
        <v>10895797</v>
      </c>
      <c r="M20" s="15">
        <f>10000000+608387</f>
        <v>10608387</v>
      </c>
      <c r="N20" s="15">
        <f>6919330+18130486</f>
        <v>25049816</v>
      </c>
      <c r="O20" s="15">
        <f>8690626+4598116</f>
        <v>13288742</v>
      </c>
      <c r="P20" s="15">
        <f>8281846+2919286</f>
        <v>11201132</v>
      </c>
      <c r="Q20" s="15">
        <f>72035000+243686</f>
        <v>72278686</v>
      </c>
      <c r="R20" s="15">
        <f>10743659+2646437</f>
        <v>13390096</v>
      </c>
      <c r="S20" s="15">
        <f>4022832+1899441</f>
        <v>5922273</v>
      </c>
      <c r="T20" s="15">
        <f>3079245+5366155</f>
        <v>8445400</v>
      </c>
      <c r="U20" s="15">
        <f>7385083+1595880</f>
        <v>8980963</v>
      </c>
      <c r="V20" s="15">
        <f>17958904+355900</f>
        <v>18314804</v>
      </c>
      <c r="W20" s="15">
        <f>8345680+1795874</f>
        <v>10141554</v>
      </c>
      <c r="X20" s="82">
        <f t="shared" si="11"/>
        <v>208517650</v>
      </c>
      <c r="Y20" s="13">
        <f t="shared" si="12"/>
        <v>355482350</v>
      </c>
    </row>
    <row r="21" spans="1:25" ht="15" customHeight="1">
      <c r="A21" s="34" t="s">
        <v>71</v>
      </c>
      <c r="B21" s="24" t="s">
        <v>72</v>
      </c>
      <c r="C21" s="35"/>
      <c r="D21" s="77">
        <f aca="true" t="shared" si="13" ref="D21:S21">SUM(D22:D26)</f>
        <v>25259700000</v>
      </c>
      <c r="E21" s="24">
        <f t="shared" si="13"/>
        <v>4288500000</v>
      </c>
      <c r="F21" s="24">
        <f t="shared" si="13"/>
        <v>0</v>
      </c>
      <c r="G21" s="35">
        <f t="shared" si="13"/>
        <v>29548200000</v>
      </c>
      <c r="H21" s="77">
        <f t="shared" si="13"/>
        <v>25259700000</v>
      </c>
      <c r="I21" s="24">
        <f t="shared" si="13"/>
        <v>4288500000</v>
      </c>
      <c r="J21" s="24">
        <f t="shared" si="13"/>
        <v>0</v>
      </c>
      <c r="K21" s="35">
        <f>SUM(K22:K26)</f>
        <v>29548200000</v>
      </c>
      <c r="L21" s="77">
        <f t="shared" si="13"/>
        <v>1926235244</v>
      </c>
      <c r="M21" s="24">
        <f t="shared" si="13"/>
        <v>2037574936</v>
      </c>
      <c r="N21" s="24">
        <f t="shared" si="13"/>
        <v>2135255073</v>
      </c>
      <c r="O21" s="24">
        <f t="shared" si="13"/>
        <v>2149209671</v>
      </c>
      <c r="P21" s="24">
        <f t="shared" si="13"/>
        <v>2261902836</v>
      </c>
      <c r="Q21" s="24">
        <f t="shared" si="13"/>
        <v>2393716256</v>
      </c>
      <c r="R21" s="24">
        <f t="shared" si="13"/>
        <v>2277505340</v>
      </c>
      <c r="S21" s="24">
        <f t="shared" si="13"/>
        <v>2236672157</v>
      </c>
      <c r="T21" s="24">
        <f aca="true" t="shared" si="14" ref="T21:Y21">SUM(T22:T26)</f>
        <v>2175355926</v>
      </c>
      <c r="U21" s="24">
        <f t="shared" si="14"/>
        <v>4443034123</v>
      </c>
      <c r="V21" s="24">
        <f t="shared" si="14"/>
        <v>866776741</v>
      </c>
      <c r="W21" s="24">
        <f t="shared" si="14"/>
        <v>6910397905</v>
      </c>
      <c r="X21" s="83">
        <f t="shared" si="14"/>
        <v>31813636208</v>
      </c>
      <c r="Y21" s="35">
        <f t="shared" si="14"/>
        <v>-2265436208</v>
      </c>
    </row>
    <row r="22" spans="1:25" ht="15" customHeight="1">
      <c r="A22" s="11" t="s">
        <v>73</v>
      </c>
      <c r="B22" s="12" t="s">
        <v>74</v>
      </c>
      <c r="C22" s="13"/>
      <c r="D22" s="76">
        <f>K22-E22-F22</f>
        <v>0</v>
      </c>
      <c r="E22" s="14">
        <v>0</v>
      </c>
      <c r="F22" s="14">
        <v>0</v>
      </c>
      <c r="G22" s="75">
        <f>SUM(D22:F22)</f>
        <v>0</v>
      </c>
      <c r="H22" s="76">
        <v>0</v>
      </c>
      <c r="I22" s="14">
        <v>0</v>
      </c>
      <c r="J22" s="14">
        <v>0</v>
      </c>
      <c r="K22" s="75">
        <f>SUM(H22:J22)</f>
        <v>0</v>
      </c>
      <c r="L22" s="76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82">
        <f>SUM(L22:W22)</f>
        <v>0</v>
      </c>
      <c r="Y22" s="13">
        <f>+K22-X22</f>
        <v>0</v>
      </c>
    </row>
    <row r="23" spans="1:25" ht="15" customHeight="1">
      <c r="A23" s="11" t="s">
        <v>75</v>
      </c>
      <c r="B23" s="12" t="s">
        <v>76</v>
      </c>
      <c r="C23" s="13"/>
      <c r="D23" s="76">
        <f>K23-E23-F23</f>
        <v>0</v>
      </c>
      <c r="E23" s="14">
        <v>0</v>
      </c>
      <c r="F23" s="14">
        <v>0</v>
      </c>
      <c r="G23" s="75">
        <f>SUM(D23:F23)</f>
        <v>0</v>
      </c>
      <c r="H23" s="76">
        <v>0</v>
      </c>
      <c r="I23" s="14">
        <v>0</v>
      </c>
      <c r="J23" s="14">
        <v>0</v>
      </c>
      <c r="K23" s="75">
        <f>SUM(H23:J23)</f>
        <v>0</v>
      </c>
      <c r="L23" s="76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82">
        <f>SUM(L23:W23)</f>
        <v>0</v>
      </c>
      <c r="Y23" s="13">
        <f>+K23-X23</f>
        <v>0</v>
      </c>
    </row>
    <row r="24" spans="1:25" ht="15" customHeight="1">
      <c r="A24" s="11" t="s">
        <v>77</v>
      </c>
      <c r="B24" s="12" t="s">
        <v>78</v>
      </c>
      <c r="C24" s="13"/>
      <c r="D24" s="76">
        <f>K24-E24-F24</f>
        <v>24738000000</v>
      </c>
      <c r="E24" s="15">
        <v>0</v>
      </c>
      <c r="F24" s="15">
        <v>0</v>
      </c>
      <c r="G24" s="75">
        <f>SUM(D24:F24)</f>
        <v>24738000000</v>
      </c>
      <c r="H24" s="79">
        <f>25259700000-H25</f>
        <v>24738000000</v>
      </c>
      <c r="I24" s="15">
        <v>0</v>
      </c>
      <c r="J24" s="15">
        <v>0</v>
      </c>
      <c r="K24" s="75">
        <f>SUM(H24:J24)</f>
        <v>24738000000</v>
      </c>
      <c r="L24" s="79">
        <v>1917352222</v>
      </c>
      <c r="M24" s="15">
        <v>1965219334</v>
      </c>
      <c r="N24" s="15">
        <v>2121453272</v>
      </c>
      <c r="O24" s="15">
        <v>2131164794</v>
      </c>
      <c r="P24" s="15">
        <v>2253312516</v>
      </c>
      <c r="Q24" s="15">
        <v>2385746766</v>
      </c>
      <c r="R24" s="15">
        <v>2276780120</v>
      </c>
      <c r="S24" s="15">
        <v>2229136468</v>
      </c>
      <c r="T24" s="15">
        <v>2162848668</v>
      </c>
      <c r="U24" s="15">
        <v>4436096024</v>
      </c>
      <c r="V24" s="15">
        <v>858858247</v>
      </c>
      <c r="W24" s="15">
        <v>2613311322</v>
      </c>
      <c r="X24" s="82">
        <f>SUM(L24:W24)</f>
        <v>27351279753</v>
      </c>
      <c r="Y24" s="13">
        <f>+K24-X24</f>
        <v>-2613279753</v>
      </c>
    </row>
    <row r="25" spans="1:25" ht="15" customHeight="1">
      <c r="A25" s="11" t="s">
        <v>79</v>
      </c>
      <c r="B25" s="12" t="s">
        <v>80</v>
      </c>
      <c r="C25" s="13"/>
      <c r="D25" s="76">
        <f>K25-E25-F25</f>
        <v>521700000</v>
      </c>
      <c r="E25" s="15">
        <v>0</v>
      </c>
      <c r="F25" s="15">
        <v>0</v>
      </c>
      <c r="G25" s="75">
        <f>SUM(D25:F25)</f>
        <v>521700000</v>
      </c>
      <c r="H25" s="79">
        <v>521700000</v>
      </c>
      <c r="I25" s="15">
        <v>0</v>
      </c>
      <c r="J25" s="15">
        <v>0</v>
      </c>
      <c r="K25" s="75">
        <f>SUM(H25:J25)</f>
        <v>521700000</v>
      </c>
      <c r="L25" s="79">
        <v>8883022</v>
      </c>
      <c r="M25" s="15">
        <v>72355602</v>
      </c>
      <c r="N25" s="15">
        <v>13801801</v>
      </c>
      <c r="O25" s="15">
        <v>18044877</v>
      </c>
      <c r="P25" s="15">
        <v>8590320</v>
      </c>
      <c r="Q25" s="15">
        <v>7969490</v>
      </c>
      <c r="R25" s="15">
        <v>725220</v>
      </c>
      <c r="S25" s="15">
        <v>7535689</v>
      </c>
      <c r="T25" s="15">
        <v>12507258</v>
      </c>
      <c r="U25" s="15">
        <v>6938099</v>
      </c>
      <c r="V25" s="15">
        <v>7918494</v>
      </c>
      <c r="W25" s="15">
        <v>8586583</v>
      </c>
      <c r="X25" s="82">
        <f>SUM(L25:W25)</f>
        <v>173856455</v>
      </c>
      <c r="Y25" s="13">
        <f>+K25-X25</f>
        <v>347843545</v>
      </c>
    </row>
    <row r="26" spans="1:25" ht="15" customHeight="1">
      <c r="A26" s="11" t="s">
        <v>81</v>
      </c>
      <c r="B26" s="12" t="s">
        <v>82</v>
      </c>
      <c r="C26" s="13"/>
      <c r="D26" s="74">
        <f aca="true" t="shared" si="15" ref="D26:S26">SUM(D27:D29)</f>
        <v>0</v>
      </c>
      <c r="E26" s="12">
        <f t="shared" si="15"/>
        <v>4288500000</v>
      </c>
      <c r="F26" s="12">
        <f t="shared" si="15"/>
        <v>0</v>
      </c>
      <c r="G26" s="75">
        <f t="shared" si="15"/>
        <v>4288500000</v>
      </c>
      <c r="H26" s="74">
        <f t="shared" si="15"/>
        <v>0</v>
      </c>
      <c r="I26" s="12">
        <f t="shared" si="15"/>
        <v>4288500000</v>
      </c>
      <c r="J26" s="12">
        <f t="shared" si="15"/>
        <v>0</v>
      </c>
      <c r="K26" s="75">
        <f>SUM(K27:K29)</f>
        <v>4288500000</v>
      </c>
      <c r="L26" s="74">
        <f t="shared" si="15"/>
        <v>0</v>
      </c>
      <c r="M26" s="12">
        <f t="shared" si="15"/>
        <v>0</v>
      </c>
      <c r="N26" s="12">
        <f t="shared" si="15"/>
        <v>0</v>
      </c>
      <c r="O26" s="12">
        <f t="shared" si="15"/>
        <v>0</v>
      </c>
      <c r="P26" s="12">
        <f t="shared" si="15"/>
        <v>0</v>
      </c>
      <c r="Q26" s="12">
        <f t="shared" si="15"/>
        <v>0</v>
      </c>
      <c r="R26" s="12">
        <f t="shared" si="15"/>
        <v>0</v>
      </c>
      <c r="S26" s="12">
        <f t="shared" si="15"/>
        <v>0</v>
      </c>
      <c r="T26" s="12">
        <f aca="true" t="shared" si="16" ref="T26:Y26">SUM(T27:T29)</f>
        <v>0</v>
      </c>
      <c r="U26" s="12">
        <f t="shared" si="16"/>
        <v>0</v>
      </c>
      <c r="V26" s="12">
        <f t="shared" si="16"/>
        <v>0</v>
      </c>
      <c r="W26" s="12">
        <f t="shared" si="16"/>
        <v>4288500000</v>
      </c>
      <c r="X26" s="82">
        <f t="shared" si="16"/>
        <v>4288500000</v>
      </c>
      <c r="Y26" s="13">
        <f t="shared" si="16"/>
        <v>0</v>
      </c>
    </row>
    <row r="27" spans="1:25" ht="15" customHeight="1">
      <c r="A27" s="11" t="s">
        <v>83</v>
      </c>
      <c r="B27" s="12" t="s">
        <v>84</v>
      </c>
      <c r="C27" s="13"/>
      <c r="D27" s="76">
        <f>K27-E27-F27</f>
        <v>0</v>
      </c>
      <c r="E27" s="15">
        <v>0</v>
      </c>
      <c r="F27" s="15">
        <v>0</v>
      </c>
      <c r="G27" s="75">
        <f>SUM(D27:F27)</f>
        <v>0</v>
      </c>
      <c r="H27" s="79">
        <v>0</v>
      </c>
      <c r="I27" s="15">
        <v>0</v>
      </c>
      <c r="J27" s="15">
        <v>0</v>
      </c>
      <c r="K27" s="75">
        <f>SUM(H27:J27)</f>
        <v>0</v>
      </c>
      <c r="L27" s="7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82">
        <f>SUM(L27:W27)</f>
        <v>0</v>
      </c>
      <c r="Y27" s="13">
        <f>+K27-X27</f>
        <v>0</v>
      </c>
    </row>
    <row r="28" spans="1:25" ht="15" customHeight="1">
      <c r="A28" s="11" t="s">
        <v>85</v>
      </c>
      <c r="B28" s="12" t="s">
        <v>86</v>
      </c>
      <c r="C28" s="13"/>
      <c r="D28" s="76">
        <f>K28-E28-F28</f>
        <v>0</v>
      </c>
      <c r="E28" s="15">
        <v>4288500000</v>
      </c>
      <c r="F28" s="15">
        <v>0</v>
      </c>
      <c r="G28" s="75">
        <f>SUM(D28:F28)</f>
        <v>4288500000</v>
      </c>
      <c r="H28" s="79">
        <v>0</v>
      </c>
      <c r="I28" s="15">
        <v>4288500000</v>
      </c>
      <c r="J28" s="15">
        <v>0</v>
      </c>
      <c r="K28" s="75">
        <f>SUM(H28:J28)</f>
        <v>4288500000</v>
      </c>
      <c r="L28" s="7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4288500000</v>
      </c>
      <c r="X28" s="82">
        <f>SUM(L28:W28)</f>
        <v>4288500000</v>
      </c>
      <c r="Y28" s="13">
        <f>+K28-X28</f>
        <v>0</v>
      </c>
    </row>
    <row r="29" spans="1:25" ht="15" customHeight="1" thickBot="1">
      <c r="A29" s="21" t="s">
        <v>87</v>
      </c>
      <c r="B29" s="16" t="s">
        <v>88</v>
      </c>
      <c r="C29" s="17"/>
      <c r="D29" s="78">
        <f>K29-E29-F29</f>
        <v>0</v>
      </c>
      <c r="E29" s="22">
        <v>0</v>
      </c>
      <c r="F29" s="22">
        <v>0</v>
      </c>
      <c r="G29" s="20">
        <f>SUM(D29:F29)</f>
        <v>0</v>
      </c>
      <c r="H29" s="80">
        <v>0</v>
      </c>
      <c r="I29" s="22">
        <v>0</v>
      </c>
      <c r="J29" s="22">
        <v>0</v>
      </c>
      <c r="K29" s="20">
        <f>SUM(H29:J29)</f>
        <v>0</v>
      </c>
      <c r="L29" s="80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84">
        <f>SUM(L29:W29)</f>
        <v>0</v>
      </c>
      <c r="Y29" s="17">
        <f>+K29-X29</f>
        <v>0</v>
      </c>
    </row>
    <row r="30" spans="1:25" ht="15" customHeight="1" thickBot="1">
      <c r="A30" s="55" t="s">
        <v>89</v>
      </c>
      <c r="B30" s="56" t="s">
        <v>90</v>
      </c>
      <c r="C30" s="57"/>
      <c r="D30" s="71">
        <f aca="true" t="shared" si="17" ref="D30:J30">SUM(D31:D33)</f>
        <v>23150000000</v>
      </c>
      <c r="E30" s="25">
        <f t="shared" si="17"/>
        <v>0</v>
      </c>
      <c r="F30" s="56">
        <f t="shared" si="17"/>
        <v>0</v>
      </c>
      <c r="G30" s="57">
        <f t="shared" si="17"/>
        <v>23150000000</v>
      </c>
      <c r="H30" s="81">
        <f t="shared" si="17"/>
        <v>23150000000</v>
      </c>
      <c r="I30" s="25">
        <f t="shared" si="17"/>
        <v>0</v>
      </c>
      <c r="J30" s="25">
        <f t="shared" si="17"/>
        <v>0</v>
      </c>
      <c r="K30" s="26">
        <f aca="true" t="shared" si="18" ref="K30:W30">SUM(K31:K33)</f>
        <v>23150000000</v>
      </c>
      <c r="L30" s="71">
        <f t="shared" si="18"/>
        <v>0</v>
      </c>
      <c r="M30" s="56">
        <f t="shared" si="18"/>
        <v>0</v>
      </c>
      <c r="N30" s="56">
        <f t="shared" si="18"/>
        <v>960700000</v>
      </c>
      <c r="O30" s="56">
        <f t="shared" si="18"/>
        <v>1273989422</v>
      </c>
      <c r="P30" s="56">
        <f t="shared" si="18"/>
        <v>921538822</v>
      </c>
      <c r="Q30" s="56">
        <f t="shared" si="18"/>
        <v>921538822</v>
      </c>
      <c r="R30" s="56">
        <f t="shared" si="18"/>
        <v>1415149746</v>
      </c>
      <c r="S30" s="56">
        <f t="shared" si="18"/>
        <v>1560573120</v>
      </c>
      <c r="T30" s="56">
        <f t="shared" si="18"/>
        <v>3198000000</v>
      </c>
      <c r="U30" s="56">
        <f t="shared" si="18"/>
        <v>1239209188</v>
      </c>
      <c r="V30" s="56">
        <f t="shared" si="18"/>
        <v>1616431069</v>
      </c>
      <c r="W30" s="56">
        <f t="shared" si="18"/>
        <v>2500000000</v>
      </c>
      <c r="X30" s="85">
        <f>SUM(X31:X33)</f>
        <v>15607130189</v>
      </c>
      <c r="Y30" s="57">
        <f>SUM(Y31:Y33)</f>
        <v>7542869811</v>
      </c>
    </row>
    <row r="31" spans="1:25" ht="15" customHeight="1">
      <c r="A31" s="11" t="s">
        <v>91</v>
      </c>
      <c r="B31" s="12" t="s">
        <v>92</v>
      </c>
      <c r="C31" s="13"/>
      <c r="D31" s="76">
        <f>K31-E31-F31</f>
        <v>0</v>
      </c>
      <c r="E31" s="14">
        <v>0</v>
      </c>
      <c r="F31" s="14">
        <v>0</v>
      </c>
      <c r="G31" s="75">
        <f>SUM(D31:F31)</f>
        <v>0</v>
      </c>
      <c r="H31" s="14">
        <v>0</v>
      </c>
      <c r="I31" s="14">
        <v>0</v>
      </c>
      <c r="J31" s="14">
        <v>0</v>
      </c>
      <c r="K31" s="23">
        <f>SUM(H31:J31)</f>
        <v>0</v>
      </c>
      <c r="L31" s="76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82">
        <f>SUM(L31:W31)</f>
        <v>0</v>
      </c>
      <c r="Y31" s="13">
        <f>+K31-X31</f>
        <v>0</v>
      </c>
    </row>
    <row r="32" spans="1:25" ht="15" customHeight="1">
      <c r="A32" s="11" t="s">
        <v>93</v>
      </c>
      <c r="B32" s="12" t="s">
        <v>94</v>
      </c>
      <c r="C32" s="13"/>
      <c r="D32" s="76">
        <f>K32-E32-F32</f>
        <v>0</v>
      </c>
      <c r="E32" s="14">
        <v>0</v>
      </c>
      <c r="F32" s="14">
        <v>0</v>
      </c>
      <c r="G32" s="75">
        <f>SUM(D32:F32)</f>
        <v>0</v>
      </c>
      <c r="H32" s="14">
        <v>0</v>
      </c>
      <c r="I32" s="14">
        <v>0</v>
      </c>
      <c r="J32" s="14">
        <v>0</v>
      </c>
      <c r="K32" s="23">
        <f>SUM(H32:J32)</f>
        <v>0</v>
      </c>
      <c r="L32" s="76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82">
        <f>SUM(L32:W32)</f>
        <v>0</v>
      </c>
      <c r="Y32" s="13">
        <f>+K32-X32</f>
        <v>0</v>
      </c>
    </row>
    <row r="33" spans="1:25" ht="15" customHeight="1" thickBot="1">
      <c r="A33" s="21" t="s">
        <v>95</v>
      </c>
      <c r="B33" s="16" t="s">
        <v>96</v>
      </c>
      <c r="C33" s="17"/>
      <c r="D33" s="78">
        <f>K33-E33-F33</f>
        <v>23150000000</v>
      </c>
      <c r="E33" s="22">
        <v>0</v>
      </c>
      <c r="F33" s="22">
        <v>0</v>
      </c>
      <c r="G33" s="20">
        <f>SUM(D33:F33)</f>
        <v>23150000000</v>
      </c>
      <c r="H33" s="22">
        <v>23150000000</v>
      </c>
      <c r="I33" s="22">
        <v>0</v>
      </c>
      <c r="J33" s="22">
        <v>0</v>
      </c>
      <c r="K33" s="19">
        <f>SUM(H33:J33)</f>
        <v>23150000000</v>
      </c>
      <c r="L33" s="80">
        <v>0</v>
      </c>
      <c r="M33" s="22">
        <v>0</v>
      </c>
      <c r="N33" s="22">
        <v>960700000</v>
      </c>
      <c r="O33" s="22">
        <v>1273989422</v>
      </c>
      <c r="P33" s="22">
        <v>921538822</v>
      </c>
      <c r="Q33" s="22">
        <v>921538822</v>
      </c>
      <c r="R33" s="22">
        <v>1415149746</v>
      </c>
      <c r="S33" s="22">
        <v>1560573120</v>
      </c>
      <c r="T33" s="22">
        <v>3198000000</v>
      </c>
      <c r="U33" s="22">
        <v>1239209188</v>
      </c>
      <c r="V33" s="22">
        <v>1616431069</v>
      </c>
      <c r="W33" s="22">
        <f>2500000000</f>
        <v>2500000000</v>
      </c>
      <c r="X33" s="84">
        <f>SUM(L33:W33)</f>
        <v>15607130189</v>
      </c>
      <c r="Y33" s="17">
        <f>+K33-X33</f>
        <v>7542869811</v>
      </c>
    </row>
    <row r="34" spans="1:25" ht="15" customHeight="1" thickBot="1">
      <c r="A34" s="415"/>
      <c r="B34" s="25" t="s">
        <v>97</v>
      </c>
      <c r="C34" s="26"/>
      <c r="D34" s="81">
        <f aca="true" t="shared" si="19" ref="D34:J34">+D7+D30</f>
        <v>112405854437</v>
      </c>
      <c r="E34" s="25">
        <f t="shared" si="19"/>
        <v>4288500000</v>
      </c>
      <c r="F34" s="25">
        <f t="shared" si="19"/>
        <v>0</v>
      </c>
      <c r="G34" s="26">
        <f t="shared" si="19"/>
        <v>116694354437</v>
      </c>
      <c r="H34" s="25">
        <f t="shared" si="19"/>
        <v>112405854437</v>
      </c>
      <c r="I34" s="25">
        <f t="shared" si="19"/>
        <v>4288500000</v>
      </c>
      <c r="J34" s="25">
        <f t="shared" si="19"/>
        <v>0</v>
      </c>
      <c r="K34" s="25">
        <f aca="true" t="shared" si="20" ref="K34:W34">+K7+K30</f>
        <v>116694354437</v>
      </c>
      <c r="L34" s="81">
        <f t="shared" si="20"/>
        <v>6534951742</v>
      </c>
      <c r="M34" s="25">
        <f t="shared" si="20"/>
        <v>6490221751</v>
      </c>
      <c r="N34" s="25">
        <f t="shared" si="20"/>
        <v>8206490547</v>
      </c>
      <c r="O34" s="25">
        <f t="shared" si="20"/>
        <v>8303408227</v>
      </c>
      <c r="P34" s="25">
        <f t="shared" si="20"/>
        <v>8570924176</v>
      </c>
      <c r="Q34" s="25">
        <f t="shared" si="20"/>
        <v>8765414154</v>
      </c>
      <c r="R34" s="25">
        <f t="shared" si="20"/>
        <v>9183655680</v>
      </c>
      <c r="S34" s="25">
        <f t="shared" si="20"/>
        <v>8993527802</v>
      </c>
      <c r="T34" s="25">
        <f t="shared" si="20"/>
        <v>10524123797</v>
      </c>
      <c r="U34" s="25">
        <f t="shared" si="20"/>
        <v>11498216174</v>
      </c>
      <c r="V34" s="25">
        <f t="shared" si="20"/>
        <v>8242500068</v>
      </c>
      <c r="W34" s="25">
        <f t="shared" si="20"/>
        <v>16045998643</v>
      </c>
      <c r="X34" s="416">
        <f>+X7+X30</f>
        <v>111359432761</v>
      </c>
      <c r="Y34" s="26">
        <f>+Y7+Y30</f>
        <v>5334921676</v>
      </c>
    </row>
  </sheetData>
  <printOptions horizontalCentered="1" verticalCentered="1"/>
  <pageMargins left="0.4724409448818898" right="0.4724409448818898" top="0.7874015748031497" bottom="1.1811023622047245" header="0" footer="0"/>
  <pageSetup fitToHeight="1" fitToWidth="1" horizontalDpi="300" verticalDpi="300" orientation="landscape" paperSize="9" scale="92" r:id="rId2"/>
  <headerFooter alignWithMargins="0">
    <oddHeader>&amp;LGPR-&amp;D&amp;C&amp;14INFORME EJECUCIÓN DE INGRESOS - SECTOR DESCENTRALIZADO&amp;RPág. &amp;P/&amp;N</oddHeader>
    <oddFooter xml:space="preserve">&amp;L&amp;12JORGE NELSON GAITÁN LEÓN
Jefe de Presupuesto&amp;C&amp;12LUZ MARINA CHICA ARANGO
Directora  General &amp;R&amp;12HUMBERTO RAMIREZ GARCIA
Subdirector  Financiero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75"/>
  <sheetViews>
    <sheetView showGridLines="0" zoomScale="80" zoomScaleNormal="80" workbookViewId="0" topLeftCell="F4">
      <pane xSplit="9" ySplit="3" topLeftCell="O7" activePane="bottomRight" state="frozen"/>
      <selection pane="topLeft" activeCell="U11" sqref="U11"/>
      <selection pane="topRight" activeCell="U11" sqref="U11"/>
      <selection pane="bottomLeft" activeCell="U11" sqref="U11"/>
      <selection pane="bottomRight" activeCell="O7" sqref="O7"/>
    </sheetView>
  </sheetViews>
  <sheetFormatPr defaultColWidth="17.7109375" defaultRowHeight="12.75"/>
  <cols>
    <col min="1" max="1" width="3.00390625" style="101" customWidth="1"/>
    <col min="2" max="2" width="4.7109375" style="101" hidden="1" customWidth="1"/>
    <col min="3" max="5" width="6.7109375" style="101" customWidth="1"/>
    <col min="6" max="6" width="4.7109375" style="101" customWidth="1"/>
    <col min="7" max="7" width="55.7109375" style="103" customWidth="1"/>
    <col min="8" max="8" width="18.421875" style="98" hidden="1" customWidth="1"/>
    <col min="9" max="14" width="17.7109375" style="98" hidden="1" customWidth="1"/>
    <col min="15" max="15" width="17.7109375" style="98" customWidth="1"/>
    <col min="16" max="16" width="20.140625" style="98" customWidth="1"/>
    <col min="17" max="21" width="17.7109375" style="98" customWidth="1"/>
    <col min="22" max="27" width="17.7109375" style="98" hidden="1" customWidth="1"/>
    <col min="28" max="28" width="17.7109375" style="104" hidden="1" customWidth="1"/>
    <col min="29" max="32" width="17.7109375" style="98" hidden="1" customWidth="1"/>
    <col min="33" max="33" width="16.28125" style="98" hidden="1" customWidth="1"/>
    <col min="34" max="34" width="16.8515625" style="102" customWidth="1"/>
    <col min="35" max="40" width="17.7109375" style="98" hidden="1" customWidth="1"/>
    <col min="41" max="41" width="17.7109375" style="104" hidden="1" customWidth="1"/>
    <col min="42" max="45" width="17.7109375" style="98" hidden="1" customWidth="1"/>
    <col min="46" max="46" width="16.57421875" style="98" hidden="1" customWidth="1"/>
    <col min="47" max="47" width="16.28125" style="102" customWidth="1"/>
    <col min="48" max="53" width="17.7109375" style="98" hidden="1" customWidth="1"/>
    <col min="54" max="54" width="17.7109375" style="104" hidden="1" customWidth="1"/>
    <col min="55" max="58" width="17.7109375" style="98" hidden="1" customWidth="1"/>
    <col min="59" max="59" width="16.28125" style="98" hidden="1" customWidth="1"/>
    <col min="60" max="60" width="16.421875" style="102" customWidth="1"/>
    <col min="61" max="61" width="15.8515625" style="98" customWidth="1"/>
    <col min="62" max="62" width="16.57421875" style="98" customWidth="1"/>
    <col min="63" max="16384" width="17.7109375" style="98" customWidth="1"/>
  </cols>
  <sheetData>
    <row r="1" spans="1:63" ht="24" customHeight="1">
      <c r="A1" s="92"/>
      <c r="B1" s="107"/>
      <c r="C1" s="28" t="s">
        <v>0</v>
      </c>
      <c r="D1" s="107"/>
      <c r="E1" s="107"/>
      <c r="F1" s="107"/>
      <c r="G1" s="93"/>
      <c r="H1" s="109" t="s">
        <v>1</v>
      </c>
      <c r="I1" s="110" t="s">
        <v>2</v>
      </c>
      <c r="J1" s="111"/>
      <c r="K1" s="110"/>
      <c r="L1" s="111"/>
      <c r="M1" s="112"/>
      <c r="N1" s="96" t="s">
        <v>3</v>
      </c>
      <c r="O1" s="241" t="s">
        <v>1</v>
      </c>
      <c r="P1" s="242" t="s">
        <v>2</v>
      </c>
      <c r="Q1" s="243"/>
      <c r="R1" s="242"/>
      <c r="S1" s="243"/>
      <c r="T1" s="244"/>
      <c r="U1" s="245" t="s">
        <v>3</v>
      </c>
      <c r="V1" s="118" t="s">
        <v>4</v>
      </c>
      <c r="W1" s="119" t="s">
        <v>5</v>
      </c>
      <c r="X1" s="119" t="s">
        <v>6</v>
      </c>
      <c r="Y1" s="119" t="s">
        <v>7</v>
      </c>
      <c r="Z1" s="119" t="s">
        <v>8</v>
      </c>
      <c r="AA1" s="119" t="s">
        <v>9</v>
      </c>
      <c r="AB1" s="120" t="s">
        <v>10</v>
      </c>
      <c r="AC1" s="119" t="s">
        <v>11</v>
      </c>
      <c r="AD1" s="119" t="s">
        <v>12</v>
      </c>
      <c r="AE1" s="119" t="s">
        <v>13</v>
      </c>
      <c r="AF1" s="119" t="s">
        <v>14</v>
      </c>
      <c r="AG1" s="119" t="s">
        <v>15</v>
      </c>
      <c r="AH1" s="278" t="s">
        <v>16</v>
      </c>
      <c r="AI1" s="118" t="s">
        <v>4</v>
      </c>
      <c r="AJ1" s="119" t="s">
        <v>5</v>
      </c>
      <c r="AK1" s="119" t="s">
        <v>6</v>
      </c>
      <c r="AL1" s="119" t="s">
        <v>7</v>
      </c>
      <c r="AM1" s="119" t="s">
        <v>8</v>
      </c>
      <c r="AN1" s="119" t="s">
        <v>9</v>
      </c>
      <c r="AO1" s="120" t="s">
        <v>10</v>
      </c>
      <c r="AP1" s="119" t="s">
        <v>11</v>
      </c>
      <c r="AQ1" s="119" t="s">
        <v>12</v>
      </c>
      <c r="AR1" s="119" t="s">
        <v>13</v>
      </c>
      <c r="AS1" s="119" t="s">
        <v>14</v>
      </c>
      <c r="AT1" s="119" t="s">
        <v>15</v>
      </c>
      <c r="AU1" s="278" t="s">
        <v>16</v>
      </c>
      <c r="AV1" s="118" t="s">
        <v>4</v>
      </c>
      <c r="AW1" s="195" t="s">
        <v>5</v>
      </c>
      <c r="AX1" s="195" t="s">
        <v>6</v>
      </c>
      <c r="AY1" s="195" t="s">
        <v>7</v>
      </c>
      <c r="AZ1" s="195" t="s">
        <v>8</v>
      </c>
      <c r="BA1" s="195" t="s">
        <v>9</v>
      </c>
      <c r="BB1" s="196" t="s">
        <v>10</v>
      </c>
      <c r="BC1" s="195" t="s">
        <v>11</v>
      </c>
      <c r="BD1" s="195" t="s">
        <v>12</v>
      </c>
      <c r="BE1" s="195" t="s">
        <v>13</v>
      </c>
      <c r="BF1" s="195" t="s">
        <v>14</v>
      </c>
      <c r="BG1" s="195" t="s">
        <v>15</v>
      </c>
      <c r="BH1" s="286" t="s">
        <v>16</v>
      </c>
      <c r="BI1" s="199" t="s">
        <v>17</v>
      </c>
      <c r="BJ1" s="252"/>
      <c r="BK1" s="200"/>
    </row>
    <row r="2" spans="1:63" ht="24" customHeight="1" thickBot="1">
      <c r="A2" s="94"/>
      <c r="B2" s="108"/>
      <c r="C2" s="5" t="s">
        <v>18</v>
      </c>
      <c r="D2" s="108"/>
      <c r="E2" s="108"/>
      <c r="F2" s="108"/>
      <c r="G2" s="95"/>
      <c r="H2" s="113" t="s">
        <v>19</v>
      </c>
      <c r="I2" s="114"/>
      <c r="J2" s="115"/>
      <c r="K2" s="116"/>
      <c r="L2" s="116"/>
      <c r="M2" s="117"/>
      <c r="N2" s="97" t="s">
        <v>20</v>
      </c>
      <c r="O2" s="246" t="s">
        <v>19</v>
      </c>
      <c r="P2" s="247"/>
      <c r="Q2" s="248"/>
      <c r="R2" s="249"/>
      <c r="S2" s="249"/>
      <c r="T2" s="250"/>
      <c r="U2" s="251" t="s">
        <v>20</v>
      </c>
      <c r="V2" s="121" t="s">
        <v>21</v>
      </c>
      <c r="W2" s="122">
        <v>2001</v>
      </c>
      <c r="X2" s="122">
        <v>2001</v>
      </c>
      <c r="Y2" s="122">
        <v>2001</v>
      </c>
      <c r="Z2" s="122">
        <v>2001</v>
      </c>
      <c r="AA2" s="122">
        <v>2001</v>
      </c>
      <c r="AB2" s="123">
        <v>2001</v>
      </c>
      <c r="AC2" s="122">
        <v>2001</v>
      </c>
      <c r="AD2" s="122">
        <v>2001</v>
      </c>
      <c r="AE2" s="122">
        <v>2001</v>
      </c>
      <c r="AF2" s="122">
        <v>2001</v>
      </c>
      <c r="AG2" s="122">
        <v>2001</v>
      </c>
      <c r="AH2" s="279" t="s">
        <v>21</v>
      </c>
      <c r="AI2" s="121" t="s">
        <v>21</v>
      </c>
      <c r="AJ2" s="122">
        <v>2001</v>
      </c>
      <c r="AK2" s="122">
        <v>2001</v>
      </c>
      <c r="AL2" s="122">
        <v>2001</v>
      </c>
      <c r="AM2" s="122">
        <v>2001</v>
      </c>
      <c r="AN2" s="122">
        <v>2001</v>
      </c>
      <c r="AO2" s="123">
        <v>2001</v>
      </c>
      <c r="AP2" s="122">
        <v>2001</v>
      </c>
      <c r="AQ2" s="122">
        <v>2001</v>
      </c>
      <c r="AR2" s="122">
        <v>2001</v>
      </c>
      <c r="AS2" s="122">
        <v>2001</v>
      </c>
      <c r="AT2" s="122">
        <v>2001</v>
      </c>
      <c r="AU2" s="279" t="s">
        <v>21</v>
      </c>
      <c r="AV2" s="121" t="s">
        <v>21</v>
      </c>
      <c r="AW2" s="197">
        <v>2001</v>
      </c>
      <c r="AX2" s="197">
        <v>2001</v>
      </c>
      <c r="AY2" s="197">
        <v>2001</v>
      </c>
      <c r="AZ2" s="197">
        <v>2001</v>
      </c>
      <c r="BA2" s="197">
        <v>2001</v>
      </c>
      <c r="BB2" s="198">
        <v>2001</v>
      </c>
      <c r="BC2" s="197">
        <v>2001</v>
      </c>
      <c r="BD2" s="197">
        <v>2001</v>
      </c>
      <c r="BE2" s="197">
        <v>2001</v>
      </c>
      <c r="BF2" s="197">
        <v>2001</v>
      </c>
      <c r="BG2" s="197">
        <v>2001</v>
      </c>
      <c r="BH2" s="287" t="s">
        <v>21</v>
      </c>
      <c r="BI2" s="201">
        <f ca="1">TODAY()-4</f>
        <v>37833</v>
      </c>
      <c r="BJ2" s="253"/>
      <c r="BK2" s="202"/>
    </row>
    <row r="3" spans="1:63" ht="13.5" thickBot="1">
      <c r="A3" s="38"/>
      <c r="B3" s="38"/>
      <c r="C3" s="38"/>
      <c r="D3" s="38"/>
      <c r="E3" s="38"/>
      <c r="F3" s="38"/>
      <c r="G3" s="39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40"/>
      <c r="AC3" s="36"/>
      <c r="AD3" s="36"/>
      <c r="AE3" s="36"/>
      <c r="AF3" s="36"/>
      <c r="AG3" s="36"/>
      <c r="AH3" s="280"/>
      <c r="AI3" s="36"/>
      <c r="AJ3" s="36"/>
      <c r="AK3" s="36"/>
      <c r="AL3" s="36"/>
      <c r="AM3" s="36"/>
      <c r="AN3" s="36"/>
      <c r="AO3" s="40"/>
      <c r="AP3" s="36"/>
      <c r="AQ3" s="36"/>
      <c r="AR3" s="36"/>
      <c r="AS3" s="36"/>
      <c r="AT3" s="36"/>
      <c r="AU3" s="280"/>
      <c r="AV3" s="36"/>
      <c r="AW3" s="36"/>
      <c r="AX3" s="36"/>
      <c r="AY3" s="36"/>
      <c r="AZ3" s="36"/>
      <c r="BA3" s="36"/>
      <c r="BB3" s="40"/>
      <c r="BC3" s="36"/>
      <c r="BD3" s="36"/>
      <c r="BE3" s="36"/>
      <c r="BF3" s="36"/>
      <c r="BG3" s="36"/>
      <c r="BH3" s="280"/>
      <c r="BI3" s="36"/>
      <c r="BJ3" s="36"/>
      <c r="BK3" s="36"/>
    </row>
    <row r="4" spans="1:63" ht="12.75">
      <c r="A4" s="143" t="s">
        <v>98</v>
      </c>
      <c r="B4" s="144"/>
      <c r="C4" s="144"/>
      <c r="D4" s="144"/>
      <c r="E4" s="144"/>
      <c r="F4" s="144"/>
      <c r="G4" s="145"/>
      <c r="H4" s="146" t="s">
        <v>99</v>
      </c>
      <c r="I4" s="147" t="s">
        <v>100</v>
      </c>
      <c r="J4" s="147"/>
      <c r="K4" s="147"/>
      <c r="L4" s="147"/>
      <c r="M4" s="147"/>
      <c r="N4" s="148" t="s">
        <v>99</v>
      </c>
      <c r="O4" s="147" t="s">
        <v>99</v>
      </c>
      <c r="P4" s="147" t="s">
        <v>100</v>
      </c>
      <c r="Q4" s="147"/>
      <c r="R4" s="147"/>
      <c r="S4" s="147"/>
      <c r="T4" s="147"/>
      <c r="U4" s="148" t="s">
        <v>99</v>
      </c>
      <c r="V4" s="146" t="s">
        <v>101</v>
      </c>
      <c r="W4" s="149" t="s">
        <v>101</v>
      </c>
      <c r="X4" s="149" t="s">
        <v>101</v>
      </c>
      <c r="Y4" s="149" t="s">
        <v>101</v>
      </c>
      <c r="Z4" s="149" t="s">
        <v>101</v>
      </c>
      <c r="AA4" s="149" t="s">
        <v>101</v>
      </c>
      <c r="AB4" s="150" t="s">
        <v>101</v>
      </c>
      <c r="AC4" s="149" t="s">
        <v>101</v>
      </c>
      <c r="AD4" s="149" t="s">
        <v>101</v>
      </c>
      <c r="AE4" s="149" t="s">
        <v>101</v>
      </c>
      <c r="AF4" s="149" t="s">
        <v>101</v>
      </c>
      <c r="AG4" s="149" t="s">
        <v>101</v>
      </c>
      <c r="AH4" s="281" t="s">
        <v>101</v>
      </c>
      <c r="AI4" s="146" t="s">
        <v>102</v>
      </c>
      <c r="AJ4" s="149" t="s">
        <v>102</v>
      </c>
      <c r="AK4" s="149" t="s">
        <v>102</v>
      </c>
      <c r="AL4" s="149" t="s">
        <v>102</v>
      </c>
      <c r="AM4" s="149" t="s">
        <v>102</v>
      </c>
      <c r="AN4" s="149" t="s">
        <v>102</v>
      </c>
      <c r="AO4" s="150" t="s">
        <v>102</v>
      </c>
      <c r="AP4" s="149" t="s">
        <v>102</v>
      </c>
      <c r="AQ4" s="149" t="s">
        <v>102</v>
      </c>
      <c r="AR4" s="149" t="s">
        <v>102</v>
      </c>
      <c r="AS4" s="149" t="s">
        <v>102</v>
      </c>
      <c r="AT4" s="149" t="s">
        <v>102</v>
      </c>
      <c r="AU4" s="281" t="s">
        <v>102</v>
      </c>
      <c r="AV4" s="146" t="s">
        <v>103</v>
      </c>
      <c r="AW4" s="173" t="s">
        <v>103</v>
      </c>
      <c r="AX4" s="173" t="s">
        <v>103</v>
      </c>
      <c r="AY4" s="173" t="s">
        <v>103</v>
      </c>
      <c r="AZ4" s="173" t="s">
        <v>103</v>
      </c>
      <c r="BA4" s="173" t="s">
        <v>103</v>
      </c>
      <c r="BB4" s="174" t="s">
        <v>103</v>
      </c>
      <c r="BC4" s="173" t="s">
        <v>103</v>
      </c>
      <c r="BD4" s="173" t="s">
        <v>103</v>
      </c>
      <c r="BE4" s="173" t="s">
        <v>103</v>
      </c>
      <c r="BF4" s="173" t="s">
        <v>103</v>
      </c>
      <c r="BG4" s="173" t="s">
        <v>103</v>
      </c>
      <c r="BH4" s="288" t="s">
        <v>103</v>
      </c>
      <c r="BI4" s="146" t="s">
        <v>26</v>
      </c>
      <c r="BJ4" s="254" t="s">
        <v>104</v>
      </c>
      <c r="BK4" s="148" t="s">
        <v>105</v>
      </c>
    </row>
    <row r="5" spans="1:63" ht="12.75">
      <c r="A5" s="152" t="s">
        <v>106</v>
      </c>
      <c r="B5" s="153" t="s">
        <v>107</v>
      </c>
      <c r="C5" s="154" t="s">
        <v>108</v>
      </c>
      <c r="D5" s="153" t="s">
        <v>109</v>
      </c>
      <c r="E5" s="153" t="s">
        <v>110</v>
      </c>
      <c r="F5" s="153" t="s">
        <v>111</v>
      </c>
      <c r="G5" s="155" t="s">
        <v>28</v>
      </c>
      <c r="H5" s="156" t="s">
        <v>30</v>
      </c>
      <c r="I5" s="430" t="s">
        <v>112</v>
      </c>
      <c r="J5" s="431"/>
      <c r="K5" s="158"/>
      <c r="L5" s="158"/>
      <c r="M5" s="158"/>
      <c r="N5" s="159" t="s">
        <v>113</v>
      </c>
      <c r="O5" s="157" t="s">
        <v>30</v>
      </c>
      <c r="P5" s="430" t="s">
        <v>112</v>
      </c>
      <c r="Q5" s="431"/>
      <c r="R5" s="429"/>
      <c r="S5" s="158"/>
      <c r="T5" s="158"/>
      <c r="U5" s="159" t="s">
        <v>113</v>
      </c>
      <c r="V5" s="156" t="s">
        <v>4</v>
      </c>
      <c r="W5" s="160" t="s">
        <v>5</v>
      </c>
      <c r="X5" s="160" t="s">
        <v>6</v>
      </c>
      <c r="Y5" s="160" t="s">
        <v>7</v>
      </c>
      <c r="Z5" s="160" t="s">
        <v>8</v>
      </c>
      <c r="AA5" s="160" t="s">
        <v>9</v>
      </c>
      <c r="AB5" s="161" t="s">
        <v>10</v>
      </c>
      <c r="AC5" s="160" t="s">
        <v>11</v>
      </c>
      <c r="AD5" s="160" t="s">
        <v>12</v>
      </c>
      <c r="AE5" s="160" t="s">
        <v>13</v>
      </c>
      <c r="AF5" s="160" t="s">
        <v>14</v>
      </c>
      <c r="AG5" s="160" t="s">
        <v>15</v>
      </c>
      <c r="AH5" s="282" t="s">
        <v>34</v>
      </c>
      <c r="AI5" s="156" t="s">
        <v>4</v>
      </c>
      <c r="AJ5" s="160" t="s">
        <v>5</v>
      </c>
      <c r="AK5" s="160" t="s">
        <v>6</v>
      </c>
      <c r="AL5" s="160" t="s">
        <v>7</v>
      </c>
      <c r="AM5" s="160" t="s">
        <v>8</v>
      </c>
      <c r="AN5" s="160" t="s">
        <v>9</v>
      </c>
      <c r="AO5" s="161" t="s">
        <v>10</v>
      </c>
      <c r="AP5" s="160" t="s">
        <v>11</v>
      </c>
      <c r="AQ5" s="160" t="s">
        <v>12</v>
      </c>
      <c r="AR5" s="160" t="s">
        <v>13</v>
      </c>
      <c r="AS5" s="160" t="s">
        <v>14</v>
      </c>
      <c r="AT5" s="160" t="s">
        <v>15</v>
      </c>
      <c r="AU5" s="282" t="s">
        <v>34</v>
      </c>
      <c r="AV5" s="156" t="s">
        <v>4</v>
      </c>
      <c r="AW5" s="158" t="s">
        <v>5</v>
      </c>
      <c r="AX5" s="158" t="s">
        <v>6</v>
      </c>
      <c r="AY5" s="158" t="s">
        <v>7</v>
      </c>
      <c r="AZ5" s="158" t="s">
        <v>8</v>
      </c>
      <c r="BA5" s="158" t="s">
        <v>9</v>
      </c>
      <c r="BB5" s="172" t="s">
        <v>10</v>
      </c>
      <c r="BC5" s="158" t="s">
        <v>11</v>
      </c>
      <c r="BD5" s="158" t="s">
        <v>12</v>
      </c>
      <c r="BE5" s="158" t="s">
        <v>13</v>
      </c>
      <c r="BF5" s="158" t="s">
        <v>14</v>
      </c>
      <c r="BG5" s="158" t="s">
        <v>15</v>
      </c>
      <c r="BH5" s="289" t="s">
        <v>34</v>
      </c>
      <c r="BI5" s="156" t="s">
        <v>99</v>
      </c>
      <c r="BJ5" s="255" t="s">
        <v>114</v>
      </c>
      <c r="BK5" s="159" t="s">
        <v>115</v>
      </c>
    </row>
    <row r="6" spans="1:63" ht="13.5" thickBot="1">
      <c r="A6" s="163"/>
      <c r="B6" s="164"/>
      <c r="C6" s="164" t="s">
        <v>116</v>
      </c>
      <c r="D6" s="164" t="s">
        <v>117</v>
      </c>
      <c r="E6" s="164" t="s">
        <v>118</v>
      </c>
      <c r="F6" s="164"/>
      <c r="G6" s="165"/>
      <c r="H6" s="166" t="s">
        <v>36</v>
      </c>
      <c r="I6" s="167" t="s">
        <v>119</v>
      </c>
      <c r="J6" s="167" t="s">
        <v>120</v>
      </c>
      <c r="K6" s="167" t="s">
        <v>121</v>
      </c>
      <c r="L6" s="167" t="s">
        <v>122</v>
      </c>
      <c r="M6" s="167" t="s">
        <v>123</v>
      </c>
      <c r="N6" s="168" t="s">
        <v>124</v>
      </c>
      <c r="O6" s="167" t="s">
        <v>36</v>
      </c>
      <c r="P6" s="167" t="s">
        <v>125</v>
      </c>
      <c r="Q6" s="167" t="s">
        <v>126</v>
      </c>
      <c r="R6" s="167" t="s">
        <v>127</v>
      </c>
      <c r="S6" s="167" t="s">
        <v>32</v>
      </c>
      <c r="T6" s="167" t="s">
        <v>31</v>
      </c>
      <c r="U6" s="168" t="s">
        <v>124</v>
      </c>
      <c r="V6" s="166"/>
      <c r="W6" s="169"/>
      <c r="X6" s="169"/>
      <c r="Y6" s="169"/>
      <c r="Z6" s="169"/>
      <c r="AA6" s="169"/>
      <c r="AB6" s="170"/>
      <c r="AC6" s="169"/>
      <c r="AD6" s="169"/>
      <c r="AE6" s="169"/>
      <c r="AF6" s="169"/>
      <c r="AG6" s="169"/>
      <c r="AH6" s="283" t="s">
        <v>128</v>
      </c>
      <c r="AI6" s="166"/>
      <c r="AJ6" s="169"/>
      <c r="AK6" s="169"/>
      <c r="AL6" s="169"/>
      <c r="AM6" s="169"/>
      <c r="AN6" s="169"/>
      <c r="AO6" s="170"/>
      <c r="AP6" s="169"/>
      <c r="AQ6" s="169"/>
      <c r="AR6" s="169"/>
      <c r="AS6" s="169"/>
      <c r="AT6" s="169"/>
      <c r="AU6" s="283" t="s">
        <v>40</v>
      </c>
      <c r="AV6" s="166"/>
      <c r="AW6" s="167"/>
      <c r="AX6" s="167"/>
      <c r="AY6" s="167"/>
      <c r="AZ6" s="167"/>
      <c r="BA6" s="167"/>
      <c r="BB6" s="175"/>
      <c r="BC6" s="167"/>
      <c r="BD6" s="167"/>
      <c r="BE6" s="167"/>
      <c r="BF6" s="167"/>
      <c r="BG6" s="167"/>
      <c r="BH6" s="290" t="s">
        <v>41</v>
      </c>
      <c r="BI6" s="166" t="s">
        <v>129</v>
      </c>
      <c r="BJ6" s="256" t="s">
        <v>130</v>
      </c>
      <c r="BK6" s="168" t="s">
        <v>131</v>
      </c>
    </row>
    <row r="7" spans="1:63" ht="13.5" thickBot="1">
      <c r="A7" s="38"/>
      <c r="B7" s="38"/>
      <c r="C7" s="38"/>
      <c r="D7" s="38"/>
      <c r="E7" s="38"/>
      <c r="F7" s="38"/>
      <c r="G7" s="39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0"/>
      <c r="AC7" s="36"/>
      <c r="AD7" s="36"/>
      <c r="AE7" s="36"/>
      <c r="AF7" s="36"/>
      <c r="AG7" s="36"/>
      <c r="AH7" s="280"/>
      <c r="AI7" s="36"/>
      <c r="AJ7" s="36"/>
      <c r="AK7" s="36"/>
      <c r="AL7" s="36"/>
      <c r="AM7" s="36"/>
      <c r="AN7" s="36"/>
      <c r="AO7" s="40"/>
      <c r="AP7" s="36"/>
      <c r="AQ7" s="36"/>
      <c r="AR7" s="36"/>
      <c r="AS7" s="36"/>
      <c r="AT7" s="36"/>
      <c r="AU7" s="280"/>
      <c r="AV7" s="36"/>
      <c r="AW7" s="36"/>
      <c r="AX7" s="36"/>
      <c r="AY7" s="36"/>
      <c r="AZ7" s="36"/>
      <c r="BA7" s="36"/>
      <c r="BB7" s="40"/>
      <c r="BC7" s="36"/>
      <c r="BD7" s="36"/>
      <c r="BE7" s="36"/>
      <c r="BF7" s="36"/>
      <c r="BG7" s="36"/>
      <c r="BH7" s="280"/>
      <c r="BI7" s="36"/>
      <c r="BJ7" s="36"/>
      <c r="BK7" s="36"/>
    </row>
    <row r="8" spans="1:63" ht="13.5" thickBot="1">
      <c r="A8" s="124" t="s">
        <v>132</v>
      </c>
      <c r="B8" s="125"/>
      <c r="C8" s="125"/>
      <c r="D8" s="125"/>
      <c r="E8" s="125"/>
      <c r="F8" s="125"/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8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8"/>
      <c r="BC8" s="127"/>
      <c r="BD8" s="127"/>
      <c r="BE8" s="127"/>
      <c r="BF8" s="127"/>
      <c r="BG8" s="127"/>
      <c r="BH8" s="127"/>
      <c r="BI8" s="127"/>
      <c r="BJ8" s="127"/>
      <c r="BK8" s="129"/>
    </row>
    <row r="9" spans="1:63" ht="13.5" thickBot="1">
      <c r="A9" s="38"/>
      <c r="B9" s="38"/>
      <c r="C9" s="38"/>
      <c r="D9" s="38"/>
      <c r="E9" s="38"/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40"/>
      <c r="AC9" s="36"/>
      <c r="AD9" s="36"/>
      <c r="AE9" s="36"/>
      <c r="AF9" s="36"/>
      <c r="AG9" s="36"/>
      <c r="AH9" s="280"/>
      <c r="AI9" s="36"/>
      <c r="AJ9" s="36"/>
      <c r="AK9" s="36"/>
      <c r="AL9" s="36"/>
      <c r="AM9" s="36"/>
      <c r="AN9" s="36"/>
      <c r="AO9" s="40"/>
      <c r="AP9" s="36"/>
      <c r="AQ9" s="36"/>
      <c r="AR9" s="36"/>
      <c r="AS9" s="36"/>
      <c r="AT9" s="36"/>
      <c r="AU9" s="280"/>
      <c r="AV9" s="36"/>
      <c r="AW9" s="36"/>
      <c r="AX9" s="36"/>
      <c r="AY9" s="36"/>
      <c r="AZ9" s="36"/>
      <c r="BA9" s="36"/>
      <c r="BB9" s="40"/>
      <c r="BC9" s="36"/>
      <c r="BD9" s="36"/>
      <c r="BE9" s="36"/>
      <c r="BF9" s="36"/>
      <c r="BG9" s="36"/>
      <c r="BH9" s="280"/>
      <c r="BI9" s="36"/>
      <c r="BJ9" s="36"/>
      <c r="BK9" s="36"/>
    </row>
    <row r="10" spans="1:63" s="102" customFormat="1" ht="21" customHeight="1" thickBot="1">
      <c r="A10" s="179" t="s">
        <v>133</v>
      </c>
      <c r="B10" s="180" t="s">
        <v>134</v>
      </c>
      <c r="C10" s="180" t="s">
        <v>134</v>
      </c>
      <c r="D10" s="180" t="s">
        <v>134</v>
      </c>
      <c r="E10" s="180" t="s">
        <v>134</v>
      </c>
      <c r="F10" s="180"/>
      <c r="G10" s="181" t="s">
        <v>135</v>
      </c>
      <c r="H10" s="182">
        <f aca="true" t="shared" si="0" ref="H10:M10">H11+H24+H31+H37</f>
        <v>13236242437</v>
      </c>
      <c r="I10" s="183">
        <f t="shared" si="0"/>
        <v>-404393984</v>
      </c>
      <c r="J10" s="183">
        <f t="shared" si="0"/>
        <v>404393984</v>
      </c>
      <c r="K10" s="183">
        <f t="shared" si="0"/>
        <v>0</v>
      </c>
      <c r="L10" s="183">
        <f t="shared" si="0"/>
        <v>0</v>
      </c>
      <c r="M10" s="183">
        <f t="shared" si="0"/>
        <v>1436855077</v>
      </c>
      <c r="N10" s="184">
        <f aca="true" t="shared" si="1" ref="N10:N36">SUM(H10:M10)</f>
        <v>14673097514</v>
      </c>
      <c r="O10" s="182">
        <f aca="true" t="shared" si="2" ref="O10:T10">O11+O24+O31+O37</f>
        <v>13236242437</v>
      </c>
      <c r="P10" s="183">
        <f t="shared" si="2"/>
        <v>-1523196915</v>
      </c>
      <c r="Q10" s="183">
        <f t="shared" si="2"/>
        <v>1523196915</v>
      </c>
      <c r="R10" s="183">
        <f t="shared" si="2"/>
        <v>0</v>
      </c>
      <c r="S10" s="183">
        <f t="shared" si="2"/>
        <v>0</v>
      </c>
      <c r="T10" s="183">
        <f t="shared" si="2"/>
        <v>1436855077</v>
      </c>
      <c r="U10" s="184">
        <f aca="true" t="shared" si="3" ref="U10:U23">SUM(O10:T10)</f>
        <v>14673097514</v>
      </c>
      <c r="V10" s="182">
        <f aca="true" t="shared" si="4" ref="V10:AG10">V11+V24+V31+V37</f>
        <v>1009935165</v>
      </c>
      <c r="W10" s="183">
        <f t="shared" si="4"/>
        <v>1393002329</v>
      </c>
      <c r="X10" s="183">
        <f t="shared" si="4"/>
        <v>941416111</v>
      </c>
      <c r="Y10" s="183">
        <f t="shared" si="4"/>
        <v>942294067</v>
      </c>
      <c r="Z10" s="183">
        <f t="shared" si="4"/>
        <v>889657720</v>
      </c>
      <c r="AA10" s="183">
        <f t="shared" si="4"/>
        <v>1244331782</v>
      </c>
      <c r="AB10" s="185">
        <f t="shared" si="4"/>
        <v>883024078</v>
      </c>
      <c r="AC10" s="183">
        <f t="shared" si="4"/>
        <v>910829603</v>
      </c>
      <c r="AD10" s="183">
        <f t="shared" si="4"/>
        <v>782495754</v>
      </c>
      <c r="AE10" s="183">
        <f t="shared" si="4"/>
        <v>698878208</v>
      </c>
      <c r="AF10" s="183">
        <f t="shared" si="4"/>
        <v>994729889</v>
      </c>
      <c r="AG10" s="183">
        <f t="shared" si="4"/>
        <v>2633209045</v>
      </c>
      <c r="AH10" s="184">
        <f aca="true" t="shared" si="5" ref="AH10:AH23">SUM(V10:AG10)</f>
        <v>13323803751</v>
      </c>
      <c r="AI10" s="182">
        <f aca="true" t="shared" si="6" ref="AI10:AT10">AI11+AI24+AI31+AI37</f>
        <v>415077754</v>
      </c>
      <c r="AJ10" s="183">
        <f t="shared" si="6"/>
        <v>967224403</v>
      </c>
      <c r="AK10" s="183">
        <f t="shared" si="6"/>
        <v>857685442</v>
      </c>
      <c r="AL10" s="183">
        <f t="shared" si="6"/>
        <v>940008623</v>
      </c>
      <c r="AM10" s="183">
        <f t="shared" si="6"/>
        <v>1037809083</v>
      </c>
      <c r="AN10" s="183">
        <f t="shared" si="6"/>
        <v>1462063305</v>
      </c>
      <c r="AO10" s="185">
        <f t="shared" si="6"/>
        <v>942112680</v>
      </c>
      <c r="AP10" s="183">
        <f t="shared" si="6"/>
        <v>1035003718</v>
      </c>
      <c r="AQ10" s="183">
        <f t="shared" si="6"/>
        <v>897969001</v>
      </c>
      <c r="AR10" s="183">
        <f t="shared" si="6"/>
        <v>801979031</v>
      </c>
      <c r="AS10" s="183">
        <f t="shared" si="6"/>
        <v>1087326879</v>
      </c>
      <c r="AT10" s="183">
        <f t="shared" si="6"/>
        <v>2558587692</v>
      </c>
      <c r="AU10" s="184">
        <f>SUM(AI10:AT10)</f>
        <v>13002847611</v>
      </c>
      <c r="AV10" s="182">
        <f aca="true" t="shared" si="7" ref="AV10:BG10">AV11+AV24+AV31+AV37</f>
        <v>415077754</v>
      </c>
      <c r="AW10" s="183">
        <f t="shared" si="7"/>
        <v>967224403</v>
      </c>
      <c r="AX10" s="183">
        <f t="shared" si="7"/>
        <v>857685442</v>
      </c>
      <c r="AY10" s="183">
        <f t="shared" si="7"/>
        <v>940008623</v>
      </c>
      <c r="AZ10" s="183">
        <f t="shared" si="7"/>
        <v>1037809083</v>
      </c>
      <c r="BA10" s="183">
        <f t="shared" si="7"/>
        <v>1462063305</v>
      </c>
      <c r="BB10" s="185">
        <f t="shared" si="7"/>
        <v>942112680</v>
      </c>
      <c r="BC10" s="183">
        <f t="shared" si="7"/>
        <v>1035003718</v>
      </c>
      <c r="BD10" s="183">
        <f t="shared" si="7"/>
        <v>897969001</v>
      </c>
      <c r="BE10" s="183">
        <f t="shared" si="7"/>
        <v>801979031</v>
      </c>
      <c r="BF10" s="183">
        <f t="shared" si="7"/>
        <v>1087326879</v>
      </c>
      <c r="BG10" s="183">
        <f t="shared" si="7"/>
        <v>2459825858</v>
      </c>
      <c r="BH10" s="184">
        <f aca="true" t="shared" si="8" ref="BH10:BH23">SUM(AV10:BG10)</f>
        <v>12904085777</v>
      </c>
      <c r="BI10" s="182">
        <f>U10-AH10</f>
        <v>1349293763</v>
      </c>
      <c r="BJ10" s="257">
        <f>AH10-AU10</f>
        <v>320956140</v>
      </c>
      <c r="BK10" s="184">
        <f>AU10-BH10</f>
        <v>98761834</v>
      </c>
    </row>
    <row r="11" spans="1:63" s="102" customFormat="1" ht="21" customHeight="1">
      <c r="A11" s="186" t="s">
        <v>133</v>
      </c>
      <c r="B11" s="187" t="s">
        <v>136</v>
      </c>
      <c r="C11" s="188" t="s">
        <v>137</v>
      </c>
      <c r="D11" s="187" t="s">
        <v>134</v>
      </c>
      <c r="E11" s="187" t="s">
        <v>134</v>
      </c>
      <c r="F11" s="187"/>
      <c r="G11" s="189" t="s">
        <v>138</v>
      </c>
      <c r="H11" s="190">
        <f aca="true" t="shared" si="9" ref="H11:T11">SUM(H12:H23)</f>
        <v>9584333837</v>
      </c>
      <c r="I11" s="191">
        <f t="shared" si="9"/>
        <v>-404393984</v>
      </c>
      <c r="J11" s="191">
        <f t="shared" si="9"/>
        <v>404393984</v>
      </c>
      <c r="K11" s="191">
        <f t="shared" si="9"/>
        <v>0</v>
      </c>
      <c r="L11" s="191">
        <f t="shared" si="9"/>
        <v>0</v>
      </c>
      <c r="M11" s="191">
        <f t="shared" si="9"/>
        <v>185472761</v>
      </c>
      <c r="N11" s="192">
        <f t="shared" si="1"/>
        <v>9769806598</v>
      </c>
      <c r="O11" s="190">
        <f t="shared" si="9"/>
        <v>9584333837</v>
      </c>
      <c r="P11" s="191">
        <f t="shared" si="9"/>
        <v>-1188196915</v>
      </c>
      <c r="Q11" s="191">
        <f t="shared" si="9"/>
        <v>1188196915</v>
      </c>
      <c r="R11" s="191">
        <f t="shared" si="9"/>
        <v>0</v>
      </c>
      <c r="S11" s="191">
        <f t="shared" si="9"/>
        <v>0</v>
      </c>
      <c r="T11" s="191">
        <f t="shared" si="9"/>
        <v>185472761</v>
      </c>
      <c r="U11" s="192">
        <f t="shared" si="3"/>
        <v>9769806598</v>
      </c>
      <c r="V11" s="190">
        <f aca="true" t="shared" si="10" ref="V11:AK11">SUM(V12:V23)</f>
        <v>538467807</v>
      </c>
      <c r="W11" s="191">
        <f t="shared" si="10"/>
        <v>690409218</v>
      </c>
      <c r="X11" s="191">
        <f t="shared" si="10"/>
        <v>544616119</v>
      </c>
      <c r="Y11" s="191">
        <f t="shared" si="10"/>
        <v>682802065</v>
      </c>
      <c r="Z11" s="191">
        <f t="shared" si="10"/>
        <v>629355255</v>
      </c>
      <c r="AA11" s="191">
        <f t="shared" si="10"/>
        <v>1044071412</v>
      </c>
      <c r="AB11" s="193">
        <f t="shared" si="10"/>
        <v>716984956</v>
      </c>
      <c r="AC11" s="191">
        <f t="shared" si="10"/>
        <v>662387085</v>
      </c>
      <c r="AD11" s="191">
        <f t="shared" si="10"/>
        <v>596748095</v>
      </c>
      <c r="AE11" s="191">
        <f t="shared" si="10"/>
        <v>549637975</v>
      </c>
      <c r="AF11" s="191">
        <f t="shared" si="10"/>
        <v>673214682</v>
      </c>
      <c r="AG11" s="191">
        <f t="shared" si="10"/>
        <v>1793664255</v>
      </c>
      <c r="AH11" s="192">
        <f t="shared" si="5"/>
        <v>9122358924</v>
      </c>
      <c r="AI11" s="190">
        <f t="shared" si="10"/>
        <v>359361764</v>
      </c>
      <c r="AJ11" s="191">
        <f t="shared" si="10"/>
        <v>690377224</v>
      </c>
      <c r="AK11" s="191">
        <f t="shared" si="10"/>
        <v>580452921</v>
      </c>
      <c r="AL11" s="191">
        <f aca="true" t="shared" si="11" ref="AL11:AT11">SUM(AL12:AL23)</f>
        <v>660117682</v>
      </c>
      <c r="AM11" s="191">
        <f t="shared" si="11"/>
        <v>629044105</v>
      </c>
      <c r="AN11" s="191">
        <f t="shared" si="11"/>
        <v>1054156786</v>
      </c>
      <c r="AO11" s="193">
        <f t="shared" si="11"/>
        <v>733693135</v>
      </c>
      <c r="AP11" s="191">
        <f t="shared" si="11"/>
        <v>687942147</v>
      </c>
      <c r="AQ11" s="191">
        <f t="shared" si="11"/>
        <v>613094537</v>
      </c>
      <c r="AR11" s="191">
        <f t="shared" si="11"/>
        <v>560758795</v>
      </c>
      <c r="AS11" s="191">
        <f t="shared" si="11"/>
        <v>687754076</v>
      </c>
      <c r="AT11" s="191">
        <f t="shared" si="11"/>
        <v>1733951301</v>
      </c>
      <c r="AU11" s="192">
        <f>SUM(AI11:AT11)</f>
        <v>8990704473</v>
      </c>
      <c r="AV11" s="190">
        <f>SUM(AV12:AV23)</f>
        <v>359361764</v>
      </c>
      <c r="AW11" s="191">
        <f>SUM(AW12:AW23)</f>
        <v>690377224</v>
      </c>
      <c r="AX11" s="191">
        <f>SUM(AX12:AX23)</f>
        <v>580452921</v>
      </c>
      <c r="AY11" s="191">
        <f aca="true" t="shared" si="12" ref="AY11:BG11">SUM(AY12:AY23)</f>
        <v>660117682</v>
      </c>
      <c r="AZ11" s="191">
        <f t="shared" si="12"/>
        <v>629044105</v>
      </c>
      <c r="BA11" s="191">
        <f t="shared" si="12"/>
        <v>1054156786</v>
      </c>
      <c r="BB11" s="193">
        <f t="shared" si="12"/>
        <v>733693135</v>
      </c>
      <c r="BC11" s="191">
        <f t="shared" si="12"/>
        <v>687942147</v>
      </c>
      <c r="BD11" s="191">
        <f t="shared" si="12"/>
        <v>613094537</v>
      </c>
      <c r="BE11" s="191">
        <f t="shared" si="12"/>
        <v>560758795</v>
      </c>
      <c r="BF11" s="191">
        <f t="shared" si="12"/>
        <v>687754076</v>
      </c>
      <c r="BG11" s="191">
        <f t="shared" si="12"/>
        <v>1731068268</v>
      </c>
      <c r="BH11" s="192">
        <f t="shared" si="8"/>
        <v>8987821440</v>
      </c>
      <c r="BI11" s="291">
        <f>U11-AH11</f>
        <v>647447674</v>
      </c>
      <c r="BJ11" s="292">
        <f>AH11-AU11</f>
        <v>131654451</v>
      </c>
      <c r="BK11" s="293">
        <f>AU11-BH11</f>
        <v>2883033</v>
      </c>
    </row>
    <row r="12" spans="1:63" ht="21" customHeight="1">
      <c r="A12" s="136" t="s">
        <v>133</v>
      </c>
      <c r="B12" s="130" t="s">
        <v>136</v>
      </c>
      <c r="C12" s="130" t="s">
        <v>139</v>
      </c>
      <c r="D12" s="130" t="s">
        <v>137</v>
      </c>
      <c r="E12" s="130" t="s">
        <v>137</v>
      </c>
      <c r="F12" s="130" t="s">
        <v>140</v>
      </c>
      <c r="G12" s="131" t="s">
        <v>141</v>
      </c>
      <c r="H12" s="177">
        <f aca="true" t="shared" si="13" ref="H12:H23">U12-SUM(I12:M12)</f>
        <v>4845047222</v>
      </c>
      <c r="I12" s="132">
        <v>0</v>
      </c>
      <c r="J12" s="132">
        <v>92511118</v>
      </c>
      <c r="K12" s="132">
        <v>0</v>
      </c>
      <c r="L12" s="132">
        <v>0</v>
      </c>
      <c r="M12" s="132">
        <v>0</v>
      </c>
      <c r="N12" s="272">
        <f t="shared" si="1"/>
        <v>4937558340</v>
      </c>
      <c r="O12" s="177">
        <v>4338112560</v>
      </c>
      <c r="P12" s="132">
        <v>0</v>
      </c>
      <c r="Q12" s="132">
        <f>506934662+92511118</f>
        <v>599445780</v>
      </c>
      <c r="R12" s="132">
        <v>0</v>
      </c>
      <c r="S12" s="132">
        <v>0</v>
      </c>
      <c r="T12" s="132">
        <v>0</v>
      </c>
      <c r="U12" s="272">
        <f t="shared" si="3"/>
        <v>4937558340</v>
      </c>
      <c r="V12" s="177">
        <v>321465213</v>
      </c>
      <c r="W12" s="132">
        <v>395777202</v>
      </c>
      <c r="X12" s="132">
        <v>379523554</v>
      </c>
      <c r="Y12" s="132">
        <v>386757878</v>
      </c>
      <c r="Z12" s="132">
        <v>386008962</v>
      </c>
      <c r="AA12" s="132">
        <v>422200917</v>
      </c>
      <c r="AB12" s="133">
        <v>438645430</v>
      </c>
      <c r="AC12" s="132">
        <v>409036431</v>
      </c>
      <c r="AD12" s="132">
        <v>401709319</v>
      </c>
      <c r="AE12" s="132">
        <v>393979625</v>
      </c>
      <c r="AF12" s="132">
        <v>404997601</v>
      </c>
      <c r="AG12" s="132">
        <f>504945090+75872645</f>
        <v>580817735</v>
      </c>
      <c r="AH12" s="272">
        <f t="shared" si="5"/>
        <v>4920919867</v>
      </c>
      <c r="AI12" s="177">
        <f aca="true" t="shared" si="14" ref="AI12:AI23">AV12</f>
        <v>321313444</v>
      </c>
      <c r="AJ12" s="132">
        <f aca="true" t="shared" si="15" ref="AJ12:AJ23">AW12</f>
        <v>395928971</v>
      </c>
      <c r="AK12" s="132">
        <f aca="true" t="shared" si="16" ref="AK12:AK23">AX12</f>
        <v>379079080</v>
      </c>
      <c r="AL12" s="132">
        <f aca="true" t="shared" si="17" ref="AL12:AL23">AY12</f>
        <v>386757878</v>
      </c>
      <c r="AM12" s="132">
        <f aca="true" t="shared" si="18" ref="AM12:AM23">AZ12</f>
        <v>384668716</v>
      </c>
      <c r="AN12" s="132">
        <f aca="true" t="shared" si="19" ref="AN12:AN23">BA12</f>
        <v>422558622</v>
      </c>
      <c r="AO12" s="133">
        <f aca="true" t="shared" si="20" ref="AO12:AO23">BB12</f>
        <v>438645430</v>
      </c>
      <c r="AP12" s="132">
        <f aca="true" t="shared" si="21" ref="AP12:AP23">BC12</f>
        <v>409036431</v>
      </c>
      <c r="AQ12" s="132">
        <f aca="true" t="shared" si="22" ref="AQ12:AQ23">BD12</f>
        <v>393124179</v>
      </c>
      <c r="AR12" s="132">
        <f aca="true" t="shared" si="23" ref="AR12:AR23">BE12</f>
        <v>393987530</v>
      </c>
      <c r="AS12" s="132">
        <f aca="true" t="shared" si="24" ref="AS12:AS23">BF12</f>
        <v>403390406</v>
      </c>
      <c r="AT12" s="132">
        <f aca="true" t="shared" si="25" ref="AT12:AT23">BG12</f>
        <v>592429180</v>
      </c>
      <c r="AU12" s="272">
        <f aca="true" t="shared" si="26" ref="AU12:AU23">SUM(AI12:AT12)</f>
        <v>4920919867</v>
      </c>
      <c r="AV12" s="177">
        <v>321313444</v>
      </c>
      <c r="AW12" s="132">
        <v>395928971</v>
      </c>
      <c r="AX12" s="132">
        <v>379079080</v>
      </c>
      <c r="AY12" s="132">
        <v>386757878</v>
      </c>
      <c r="AZ12" s="132">
        <v>384668716</v>
      </c>
      <c r="BA12" s="132">
        <v>422558622</v>
      </c>
      <c r="BB12" s="133">
        <v>438645430</v>
      </c>
      <c r="BC12" s="132">
        <v>409036431</v>
      </c>
      <c r="BD12" s="132">
        <v>393124179</v>
      </c>
      <c r="BE12" s="132">
        <v>393987530</v>
      </c>
      <c r="BF12" s="132">
        <v>403390406</v>
      </c>
      <c r="BG12" s="132">
        <f>504945090+87484090</f>
        <v>592429180</v>
      </c>
      <c r="BH12" s="272">
        <f t="shared" si="8"/>
        <v>4920919867</v>
      </c>
      <c r="BI12" s="294">
        <f aca="true" t="shared" si="27" ref="BI12:BI23">U12-AH12</f>
        <v>16638473</v>
      </c>
      <c r="BJ12" s="295">
        <f aca="true" t="shared" si="28" ref="BJ12:BJ23">AH12-AU12</f>
        <v>0</v>
      </c>
      <c r="BK12" s="296">
        <f aca="true" t="shared" si="29" ref="BK12:BK23">AU12-BH12</f>
        <v>0</v>
      </c>
    </row>
    <row r="13" spans="1:63" ht="21" customHeight="1">
      <c r="A13" s="136" t="s">
        <v>133</v>
      </c>
      <c r="B13" s="130" t="s">
        <v>136</v>
      </c>
      <c r="C13" s="130" t="s">
        <v>139</v>
      </c>
      <c r="D13" s="130" t="s">
        <v>137</v>
      </c>
      <c r="E13" s="130" t="s">
        <v>137</v>
      </c>
      <c r="F13" s="130" t="s">
        <v>195</v>
      </c>
      <c r="G13" s="131" t="s">
        <v>141</v>
      </c>
      <c r="H13" s="177">
        <f>U13-SUM(I13:M13)</f>
        <v>0</v>
      </c>
      <c r="I13" s="132">
        <v>0</v>
      </c>
      <c r="J13" s="132">
        <v>178975915</v>
      </c>
      <c r="K13" s="132">
        <v>0</v>
      </c>
      <c r="L13" s="132">
        <v>0</v>
      </c>
      <c r="M13" s="132">
        <v>0</v>
      </c>
      <c r="N13" s="272">
        <f>SUM(H13:M13)</f>
        <v>178975915</v>
      </c>
      <c r="O13" s="177">
        <v>0</v>
      </c>
      <c r="P13" s="132">
        <v>0</v>
      </c>
      <c r="Q13" s="132">
        <v>178975915</v>
      </c>
      <c r="R13" s="132">
        <v>0</v>
      </c>
      <c r="S13" s="132">
        <v>0</v>
      </c>
      <c r="T13" s="132">
        <v>0</v>
      </c>
      <c r="U13" s="272">
        <f>SUM(O13:T13)</f>
        <v>178975915</v>
      </c>
      <c r="V13" s="177"/>
      <c r="W13" s="132"/>
      <c r="X13" s="132"/>
      <c r="Y13" s="132"/>
      <c r="Z13" s="132"/>
      <c r="AA13" s="132"/>
      <c r="AB13" s="133"/>
      <c r="AC13" s="132"/>
      <c r="AD13" s="132"/>
      <c r="AE13" s="132"/>
      <c r="AF13" s="132"/>
      <c r="AG13" s="132"/>
      <c r="AH13" s="272">
        <f>SUM(V13:AG13)</f>
        <v>0</v>
      </c>
      <c r="AI13" s="177">
        <f aca="true" t="shared" si="30" ref="AI13:AT13">AV13</f>
        <v>0</v>
      </c>
      <c r="AJ13" s="132">
        <f t="shared" si="30"/>
        <v>0</v>
      </c>
      <c r="AK13" s="132">
        <f t="shared" si="30"/>
        <v>0</v>
      </c>
      <c r="AL13" s="132">
        <f t="shared" si="30"/>
        <v>0</v>
      </c>
      <c r="AM13" s="132">
        <f t="shared" si="30"/>
        <v>0</v>
      </c>
      <c r="AN13" s="132">
        <f t="shared" si="30"/>
        <v>0</v>
      </c>
      <c r="AO13" s="133">
        <f t="shared" si="30"/>
        <v>0</v>
      </c>
      <c r="AP13" s="132">
        <f t="shared" si="30"/>
        <v>0</v>
      </c>
      <c r="AQ13" s="132">
        <f t="shared" si="30"/>
        <v>0</v>
      </c>
      <c r="AR13" s="132">
        <f t="shared" si="30"/>
        <v>0</v>
      </c>
      <c r="AS13" s="132">
        <f t="shared" si="30"/>
        <v>0</v>
      </c>
      <c r="AT13" s="132">
        <f t="shared" si="30"/>
        <v>0</v>
      </c>
      <c r="AU13" s="272">
        <f>SUM(AI13:AT13)</f>
        <v>0</v>
      </c>
      <c r="AV13" s="177"/>
      <c r="AW13" s="132"/>
      <c r="AX13" s="132"/>
      <c r="AY13" s="132"/>
      <c r="AZ13" s="132"/>
      <c r="BA13" s="132"/>
      <c r="BB13" s="133"/>
      <c r="BC13" s="132"/>
      <c r="BD13" s="132"/>
      <c r="BE13" s="132"/>
      <c r="BF13" s="132"/>
      <c r="BG13" s="132">
        <v>0</v>
      </c>
      <c r="BH13" s="272">
        <f>SUM(AV13:BG13)</f>
        <v>0</v>
      </c>
      <c r="BI13" s="294">
        <f>U13-AH13</f>
        <v>178975915</v>
      </c>
      <c r="BJ13" s="295">
        <f>AH13-AU13</f>
        <v>0</v>
      </c>
      <c r="BK13" s="296">
        <f>AU13-BH13</f>
        <v>0</v>
      </c>
    </row>
    <row r="14" spans="1:63" ht="21" customHeight="1">
      <c r="A14" s="136" t="s">
        <v>133</v>
      </c>
      <c r="B14" s="130" t="s">
        <v>136</v>
      </c>
      <c r="C14" s="130" t="s">
        <v>139</v>
      </c>
      <c r="D14" s="130" t="s">
        <v>137</v>
      </c>
      <c r="E14" s="130" t="s">
        <v>142</v>
      </c>
      <c r="F14" s="130" t="s">
        <v>140</v>
      </c>
      <c r="G14" s="131" t="s">
        <v>143</v>
      </c>
      <c r="H14" s="177">
        <f t="shared" si="13"/>
        <v>52414182</v>
      </c>
      <c r="I14" s="132">
        <v>0</v>
      </c>
      <c r="J14" s="132">
        <v>1713042</v>
      </c>
      <c r="K14" s="132">
        <v>0</v>
      </c>
      <c r="L14" s="132">
        <v>0</v>
      </c>
      <c r="M14" s="132">
        <v>0</v>
      </c>
      <c r="N14" s="272">
        <f t="shared" si="1"/>
        <v>54127224</v>
      </c>
      <c r="O14" s="177">
        <v>45900593</v>
      </c>
      <c r="P14" s="132">
        <v>0</v>
      </c>
      <c r="Q14" s="132">
        <f>6513589+1713042</f>
        <v>8226631</v>
      </c>
      <c r="R14" s="132">
        <v>0</v>
      </c>
      <c r="S14" s="132">
        <v>0</v>
      </c>
      <c r="T14" s="132">
        <v>0</v>
      </c>
      <c r="U14" s="272">
        <f t="shared" si="3"/>
        <v>54127224</v>
      </c>
      <c r="V14" s="177">
        <v>22541</v>
      </c>
      <c r="W14" s="132">
        <v>2448111</v>
      </c>
      <c r="X14" s="132">
        <v>16573011</v>
      </c>
      <c r="Y14" s="132">
        <v>2041887</v>
      </c>
      <c r="Z14" s="132">
        <v>2491321</v>
      </c>
      <c r="AA14" s="132">
        <v>2120355</v>
      </c>
      <c r="AB14" s="133">
        <v>2065714</v>
      </c>
      <c r="AC14" s="132">
        <v>2869415</v>
      </c>
      <c r="AD14" s="132">
        <v>2629402</v>
      </c>
      <c r="AE14" s="132">
        <v>2142871</v>
      </c>
      <c r="AF14" s="132">
        <v>2020577</v>
      </c>
      <c r="AG14" s="132">
        <v>4181139</v>
      </c>
      <c r="AH14" s="272">
        <f t="shared" si="5"/>
        <v>41606344</v>
      </c>
      <c r="AI14" s="177">
        <f t="shared" si="14"/>
        <v>22541</v>
      </c>
      <c r="AJ14" s="132">
        <f t="shared" si="15"/>
        <v>2448111</v>
      </c>
      <c r="AK14" s="132">
        <f t="shared" si="16"/>
        <v>16573011</v>
      </c>
      <c r="AL14" s="132">
        <f t="shared" si="17"/>
        <v>2041887</v>
      </c>
      <c r="AM14" s="132">
        <f t="shared" si="18"/>
        <v>2491321</v>
      </c>
      <c r="AN14" s="132">
        <f t="shared" si="19"/>
        <v>2120355</v>
      </c>
      <c r="AO14" s="133">
        <f t="shared" si="20"/>
        <v>2065714</v>
      </c>
      <c r="AP14" s="132">
        <f t="shared" si="21"/>
        <v>2869415</v>
      </c>
      <c r="AQ14" s="132">
        <f t="shared" si="22"/>
        <v>2629402</v>
      </c>
      <c r="AR14" s="132">
        <f t="shared" si="23"/>
        <v>2142871</v>
      </c>
      <c r="AS14" s="132">
        <f t="shared" si="24"/>
        <v>2020577</v>
      </c>
      <c r="AT14" s="132">
        <f t="shared" si="25"/>
        <v>4181139</v>
      </c>
      <c r="AU14" s="272">
        <f t="shared" si="26"/>
        <v>41606344</v>
      </c>
      <c r="AV14" s="177">
        <v>22541</v>
      </c>
      <c r="AW14" s="132">
        <v>2448111</v>
      </c>
      <c r="AX14" s="132">
        <v>16573011</v>
      </c>
      <c r="AY14" s="132">
        <v>2041887</v>
      </c>
      <c r="AZ14" s="132">
        <v>2491321</v>
      </c>
      <c r="BA14" s="132">
        <v>2120355</v>
      </c>
      <c r="BB14" s="133">
        <v>2065714</v>
      </c>
      <c r="BC14" s="132">
        <v>2869415</v>
      </c>
      <c r="BD14" s="132">
        <v>2629402</v>
      </c>
      <c r="BE14" s="132">
        <v>2142871</v>
      </c>
      <c r="BF14" s="132">
        <v>2020577</v>
      </c>
      <c r="BG14" s="132">
        <v>4181139</v>
      </c>
      <c r="BH14" s="272">
        <f t="shared" si="8"/>
        <v>41606344</v>
      </c>
      <c r="BI14" s="294">
        <f t="shared" si="27"/>
        <v>12520880</v>
      </c>
      <c r="BJ14" s="295">
        <f t="shared" si="28"/>
        <v>0</v>
      </c>
      <c r="BK14" s="296">
        <f t="shared" si="29"/>
        <v>0</v>
      </c>
    </row>
    <row r="15" spans="1:63" ht="21" customHeight="1">
      <c r="A15" s="136" t="s">
        <v>133</v>
      </c>
      <c r="B15" s="130" t="s">
        <v>136</v>
      </c>
      <c r="C15" s="130" t="s">
        <v>139</v>
      </c>
      <c r="D15" s="130" t="s">
        <v>137</v>
      </c>
      <c r="E15" s="130" t="s">
        <v>144</v>
      </c>
      <c r="F15" s="130" t="s">
        <v>140</v>
      </c>
      <c r="G15" s="131" t="s">
        <v>145</v>
      </c>
      <c r="H15" s="177">
        <f t="shared" si="13"/>
        <v>45748319</v>
      </c>
      <c r="I15" s="132">
        <v>0</v>
      </c>
      <c r="J15" s="132">
        <v>1310636</v>
      </c>
      <c r="K15" s="132">
        <v>0</v>
      </c>
      <c r="L15" s="132">
        <v>0</v>
      </c>
      <c r="M15" s="132">
        <v>0</v>
      </c>
      <c r="N15" s="272">
        <f t="shared" si="1"/>
        <v>47058955</v>
      </c>
      <c r="O15" s="177">
        <v>40308417</v>
      </c>
      <c r="P15" s="132">
        <v>0</v>
      </c>
      <c r="Q15" s="132">
        <f>5439902+1310636</f>
        <v>6750538</v>
      </c>
      <c r="R15" s="132">
        <v>0</v>
      </c>
      <c r="S15" s="132">
        <v>0</v>
      </c>
      <c r="T15" s="132">
        <v>0</v>
      </c>
      <c r="U15" s="272">
        <f t="shared" si="3"/>
        <v>47058955</v>
      </c>
      <c r="V15" s="177">
        <v>452536</v>
      </c>
      <c r="W15" s="132">
        <v>1505634</v>
      </c>
      <c r="X15" s="132">
        <v>898402</v>
      </c>
      <c r="Y15" s="132">
        <v>1741627</v>
      </c>
      <c r="Z15" s="132">
        <v>564591</v>
      </c>
      <c r="AA15" s="132">
        <v>6413386</v>
      </c>
      <c r="AB15" s="133">
        <v>10702672</v>
      </c>
      <c r="AC15" s="132">
        <v>4831232</v>
      </c>
      <c r="AD15" s="132">
        <v>3398139</v>
      </c>
      <c r="AE15" s="132">
        <v>3616806</v>
      </c>
      <c r="AF15" s="132">
        <v>3161886</v>
      </c>
      <c r="AG15" s="132">
        <v>1346480</v>
      </c>
      <c r="AH15" s="272">
        <f t="shared" si="5"/>
        <v>38633391</v>
      </c>
      <c r="AI15" s="177">
        <f t="shared" si="14"/>
        <v>452536</v>
      </c>
      <c r="AJ15" s="132">
        <f t="shared" si="15"/>
        <v>1505634</v>
      </c>
      <c r="AK15" s="132">
        <f t="shared" si="16"/>
        <v>898402</v>
      </c>
      <c r="AL15" s="132">
        <f t="shared" si="17"/>
        <v>1741627</v>
      </c>
      <c r="AM15" s="132">
        <f t="shared" si="18"/>
        <v>564591</v>
      </c>
      <c r="AN15" s="132">
        <f t="shared" si="19"/>
        <v>6413386</v>
      </c>
      <c r="AO15" s="133">
        <f t="shared" si="20"/>
        <v>10702672</v>
      </c>
      <c r="AP15" s="132">
        <f t="shared" si="21"/>
        <v>4831232</v>
      </c>
      <c r="AQ15" s="132">
        <f t="shared" si="22"/>
        <v>3398139</v>
      </c>
      <c r="AR15" s="132">
        <f t="shared" si="23"/>
        <v>3616806</v>
      </c>
      <c r="AS15" s="132">
        <f t="shared" si="24"/>
        <v>3161886</v>
      </c>
      <c r="AT15" s="132">
        <f t="shared" si="25"/>
        <v>1346480</v>
      </c>
      <c r="AU15" s="272">
        <f t="shared" si="26"/>
        <v>38633391</v>
      </c>
      <c r="AV15" s="177">
        <v>452536</v>
      </c>
      <c r="AW15" s="132">
        <v>1505634</v>
      </c>
      <c r="AX15" s="132">
        <v>898402</v>
      </c>
      <c r="AY15" s="132">
        <v>1741627</v>
      </c>
      <c r="AZ15" s="132">
        <v>564591</v>
      </c>
      <c r="BA15" s="132">
        <v>6413386</v>
      </c>
      <c r="BB15" s="133">
        <v>10702672</v>
      </c>
      <c r="BC15" s="132">
        <v>4831232</v>
      </c>
      <c r="BD15" s="132">
        <v>3398139</v>
      </c>
      <c r="BE15" s="132">
        <v>3616806</v>
      </c>
      <c r="BF15" s="132">
        <v>3161886</v>
      </c>
      <c r="BG15" s="132">
        <v>1346480</v>
      </c>
      <c r="BH15" s="272">
        <f t="shared" si="8"/>
        <v>38633391</v>
      </c>
      <c r="BI15" s="294">
        <f t="shared" si="27"/>
        <v>8425564</v>
      </c>
      <c r="BJ15" s="295">
        <f t="shared" si="28"/>
        <v>0</v>
      </c>
      <c r="BK15" s="296">
        <f t="shared" si="29"/>
        <v>0</v>
      </c>
    </row>
    <row r="16" spans="1:63" ht="21" customHeight="1">
      <c r="A16" s="136" t="s">
        <v>133</v>
      </c>
      <c r="B16" s="130" t="s">
        <v>136</v>
      </c>
      <c r="C16" s="130" t="s">
        <v>139</v>
      </c>
      <c r="D16" s="130" t="s">
        <v>137</v>
      </c>
      <c r="E16" s="130" t="s">
        <v>146</v>
      </c>
      <c r="F16" s="130" t="s">
        <v>140</v>
      </c>
      <c r="G16" s="131" t="s">
        <v>147</v>
      </c>
      <c r="H16" s="177">
        <f t="shared" si="13"/>
        <v>64025196</v>
      </c>
      <c r="I16" s="132">
        <v>0</v>
      </c>
      <c r="J16" s="132">
        <v>710124</v>
      </c>
      <c r="K16" s="132">
        <v>0</v>
      </c>
      <c r="L16" s="132">
        <v>0</v>
      </c>
      <c r="M16" s="132">
        <v>0</v>
      </c>
      <c r="N16" s="272">
        <f t="shared" si="1"/>
        <v>64735320</v>
      </c>
      <c r="O16" s="177">
        <v>57185382</v>
      </c>
      <c r="P16" s="132">
        <v>0</v>
      </c>
      <c r="Q16" s="132">
        <f>6839814+710124</f>
        <v>7549938</v>
      </c>
      <c r="R16" s="132">
        <v>0</v>
      </c>
      <c r="S16" s="132">
        <v>0</v>
      </c>
      <c r="T16" s="132">
        <v>0</v>
      </c>
      <c r="U16" s="272">
        <f t="shared" si="3"/>
        <v>64735320</v>
      </c>
      <c r="V16" s="177">
        <v>5220916</v>
      </c>
      <c r="W16" s="132">
        <v>4612068</v>
      </c>
      <c r="X16" s="132">
        <v>5804790</v>
      </c>
      <c r="Y16" s="132">
        <v>6438612</v>
      </c>
      <c r="Z16" s="132">
        <v>4003220</v>
      </c>
      <c r="AA16" s="132">
        <v>5220916</v>
      </c>
      <c r="AB16" s="133">
        <v>5895905</v>
      </c>
      <c r="AC16" s="132">
        <v>5384927</v>
      </c>
      <c r="AD16" s="132">
        <v>5351439</v>
      </c>
      <c r="AE16" s="132">
        <v>5351440</v>
      </c>
      <c r="AF16" s="132">
        <v>5309835</v>
      </c>
      <c r="AG16" s="132">
        <v>5351439</v>
      </c>
      <c r="AH16" s="272">
        <f t="shared" si="5"/>
        <v>63945507</v>
      </c>
      <c r="AI16" s="177">
        <f t="shared" si="14"/>
        <v>5220916</v>
      </c>
      <c r="AJ16" s="132">
        <f t="shared" si="15"/>
        <v>4612068</v>
      </c>
      <c r="AK16" s="132">
        <f t="shared" si="16"/>
        <v>5804790</v>
      </c>
      <c r="AL16" s="132">
        <f t="shared" si="17"/>
        <v>6438612</v>
      </c>
      <c r="AM16" s="132">
        <f t="shared" si="18"/>
        <v>4003220</v>
      </c>
      <c r="AN16" s="132">
        <f t="shared" si="19"/>
        <v>5220916</v>
      </c>
      <c r="AO16" s="133">
        <f t="shared" si="20"/>
        <v>5895905</v>
      </c>
      <c r="AP16" s="132">
        <f t="shared" si="21"/>
        <v>5384927</v>
      </c>
      <c r="AQ16" s="132">
        <f t="shared" si="22"/>
        <v>5351439</v>
      </c>
      <c r="AR16" s="132">
        <f t="shared" si="23"/>
        <v>5351440</v>
      </c>
      <c r="AS16" s="132">
        <f t="shared" si="24"/>
        <v>5309835</v>
      </c>
      <c r="AT16" s="132">
        <f t="shared" si="25"/>
        <v>5351439</v>
      </c>
      <c r="AU16" s="272">
        <f t="shared" si="26"/>
        <v>63945507</v>
      </c>
      <c r="AV16" s="177">
        <v>5220916</v>
      </c>
      <c r="AW16" s="132">
        <v>4612068</v>
      </c>
      <c r="AX16" s="132">
        <v>5804790</v>
      </c>
      <c r="AY16" s="132">
        <v>6438612</v>
      </c>
      <c r="AZ16" s="132">
        <v>4003220</v>
      </c>
      <c r="BA16" s="132">
        <v>5220916</v>
      </c>
      <c r="BB16" s="133">
        <v>5895905</v>
      </c>
      <c r="BC16" s="132">
        <v>5384927</v>
      </c>
      <c r="BD16" s="132">
        <v>5351439</v>
      </c>
      <c r="BE16" s="132">
        <v>5351440</v>
      </c>
      <c r="BF16" s="132">
        <v>5309835</v>
      </c>
      <c r="BG16" s="132">
        <v>5351439</v>
      </c>
      <c r="BH16" s="272">
        <f t="shared" si="8"/>
        <v>63945507</v>
      </c>
      <c r="BI16" s="294">
        <f t="shared" si="27"/>
        <v>789813</v>
      </c>
      <c r="BJ16" s="295">
        <f t="shared" si="28"/>
        <v>0</v>
      </c>
      <c r="BK16" s="296">
        <f t="shared" si="29"/>
        <v>0</v>
      </c>
    </row>
    <row r="17" spans="1:63" ht="21" customHeight="1">
      <c r="A17" s="136" t="s">
        <v>133</v>
      </c>
      <c r="B17" s="130" t="s">
        <v>136</v>
      </c>
      <c r="C17" s="130" t="s">
        <v>139</v>
      </c>
      <c r="D17" s="130" t="s">
        <v>137</v>
      </c>
      <c r="E17" s="130" t="s">
        <v>148</v>
      </c>
      <c r="F17" s="130" t="s">
        <v>140</v>
      </c>
      <c r="G17" s="131" t="s">
        <v>149</v>
      </c>
      <c r="H17" s="177">
        <f t="shared" si="13"/>
        <v>1681613685</v>
      </c>
      <c r="I17" s="132">
        <v>0</v>
      </c>
      <c r="J17" s="132">
        <v>13296860</v>
      </c>
      <c r="K17" s="132">
        <v>0</v>
      </c>
      <c r="L17" s="132">
        <v>0</v>
      </c>
      <c r="M17" s="132">
        <v>0</v>
      </c>
      <c r="N17" s="272">
        <f t="shared" si="1"/>
        <v>1694910545</v>
      </c>
      <c r="O17" s="177">
        <v>1556035897</v>
      </c>
      <c r="P17" s="132">
        <v>0</v>
      </c>
      <c r="Q17" s="132">
        <f>125577788+13296860</f>
        <v>138874648</v>
      </c>
      <c r="R17" s="132">
        <v>0</v>
      </c>
      <c r="S17" s="132">
        <v>0</v>
      </c>
      <c r="T17" s="132">
        <v>0</v>
      </c>
      <c r="U17" s="272">
        <f t="shared" si="3"/>
        <v>1694910545</v>
      </c>
      <c r="V17" s="177">
        <v>30297523</v>
      </c>
      <c r="W17" s="132">
        <v>42197942</v>
      </c>
      <c r="X17" s="132">
        <v>35838778</v>
      </c>
      <c r="Y17" s="132">
        <v>43036529</v>
      </c>
      <c r="Z17" s="132">
        <v>39304270</v>
      </c>
      <c r="AA17" s="132">
        <v>443508013</v>
      </c>
      <c r="AB17" s="133">
        <v>68162380</v>
      </c>
      <c r="AC17" s="132">
        <v>34755084</v>
      </c>
      <c r="AD17" s="132">
        <v>36769847</v>
      </c>
      <c r="AE17" s="132">
        <v>32441058</v>
      </c>
      <c r="AF17" s="132">
        <v>40937737</v>
      </c>
      <c r="AG17" s="132">
        <v>737164483</v>
      </c>
      <c r="AH17" s="272">
        <f t="shared" si="5"/>
        <v>1584413644</v>
      </c>
      <c r="AI17" s="177">
        <f t="shared" si="14"/>
        <v>29328354</v>
      </c>
      <c r="AJ17" s="132">
        <f t="shared" si="15"/>
        <v>41742205</v>
      </c>
      <c r="AK17" s="132">
        <f t="shared" si="16"/>
        <v>33512533</v>
      </c>
      <c r="AL17" s="132">
        <f t="shared" si="17"/>
        <v>46014626</v>
      </c>
      <c r="AM17" s="132">
        <f t="shared" si="18"/>
        <v>39600656</v>
      </c>
      <c r="AN17" s="132">
        <f t="shared" si="19"/>
        <v>442677229</v>
      </c>
      <c r="AO17" s="133">
        <f t="shared" si="20"/>
        <v>67767448</v>
      </c>
      <c r="AP17" s="132">
        <f t="shared" si="21"/>
        <v>34638740</v>
      </c>
      <c r="AQ17" s="132">
        <f t="shared" si="22"/>
        <v>36769847</v>
      </c>
      <c r="AR17" s="132">
        <f t="shared" si="23"/>
        <v>32482877</v>
      </c>
      <c r="AS17" s="132">
        <f t="shared" si="24"/>
        <v>40866960</v>
      </c>
      <c r="AT17" s="132">
        <f t="shared" si="25"/>
        <v>739012169</v>
      </c>
      <c r="AU17" s="272">
        <f t="shared" si="26"/>
        <v>1584413644</v>
      </c>
      <c r="AV17" s="177">
        <v>29328354</v>
      </c>
      <c r="AW17" s="132">
        <v>41742205</v>
      </c>
      <c r="AX17" s="132">
        <v>33512533</v>
      </c>
      <c r="AY17" s="132">
        <v>46014626</v>
      </c>
      <c r="AZ17" s="132">
        <v>39600656</v>
      </c>
      <c r="BA17" s="132">
        <v>442677229</v>
      </c>
      <c r="BB17" s="133">
        <v>67767448</v>
      </c>
      <c r="BC17" s="132">
        <v>34638740</v>
      </c>
      <c r="BD17" s="132">
        <v>36769847</v>
      </c>
      <c r="BE17" s="132">
        <v>32482877</v>
      </c>
      <c r="BF17" s="132">
        <v>40866960</v>
      </c>
      <c r="BG17" s="132">
        <v>739012169</v>
      </c>
      <c r="BH17" s="272">
        <f t="shared" si="8"/>
        <v>1584413644</v>
      </c>
      <c r="BI17" s="294">
        <f t="shared" si="27"/>
        <v>110496901</v>
      </c>
      <c r="BJ17" s="295">
        <f t="shared" si="28"/>
        <v>0</v>
      </c>
      <c r="BK17" s="296">
        <f t="shared" si="29"/>
        <v>0</v>
      </c>
    </row>
    <row r="18" spans="1:63" ht="21" customHeight="1">
      <c r="A18" s="136" t="s">
        <v>133</v>
      </c>
      <c r="B18" s="130" t="s">
        <v>136</v>
      </c>
      <c r="C18" s="130" t="s">
        <v>139</v>
      </c>
      <c r="D18" s="130" t="s">
        <v>137</v>
      </c>
      <c r="E18" s="130" t="s">
        <v>150</v>
      </c>
      <c r="F18" s="130" t="s">
        <v>140</v>
      </c>
      <c r="G18" s="131" t="s">
        <v>151</v>
      </c>
      <c r="H18" s="177">
        <f t="shared" si="13"/>
        <v>225418069</v>
      </c>
      <c r="I18" s="132">
        <v>-225418069</v>
      </c>
      <c r="J18" s="132">
        <v>0</v>
      </c>
      <c r="K18" s="132">
        <v>0</v>
      </c>
      <c r="L18" s="132">
        <v>0</v>
      </c>
      <c r="M18" s="132">
        <v>0</v>
      </c>
      <c r="N18" s="272">
        <f t="shared" si="1"/>
        <v>0</v>
      </c>
      <c r="O18" s="177">
        <v>1008621000</v>
      </c>
      <c r="P18" s="132">
        <f>-131897176-651305755-225418069</f>
        <v>-1008621000</v>
      </c>
      <c r="Q18" s="132">
        <v>0</v>
      </c>
      <c r="R18" s="132">
        <v>0</v>
      </c>
      <c r="S18" s="132">
        <v>0</v>
      </c>
      <c r="T18" s="132">
        <v>0</v>
      </c>
      <c r="U18" s="272">
        <f t="shared" si="3"/>
        <v>0</v>
      </c>
      <c r="V18" s="177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3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272">
        <f t="shared" si="5"/>
        <v>0</v>
      </c>
      <c r="AI18" s="177">
        <f t="shared" si="14"/>
        <v>0</v>
      </c>
      <c r="AJ18" s="132">
        <f t="shared" si="15"/>
        <v>0</v>
      </c>
      <c r="AK18" s="132">
        <f t="shared" si="16"/>
        <v>0</v>
      </c>
      <c r="AL18" s="132">
        <f t="shared" si="17"/>
        <v>0</v>
      </c>
      <c r="AM18" s="132">
        <f t="shared" si="18"/>
        <v>0</v>
      </c>
      <c r="AN18" s="132">
        <f t="shared" si="19"/>
        <v>0</v>
      </c>
      <c r="AO18" s="133">
        <f t="shared" si="20"/>
        <v>0</v>
      </c>
      <c r="AP18" s="132">
        <f t="shared" si="21"/>
        <v>0</v>
      </c>
      <c r="AQ18" s="132">
        <f t="shared" si="22"/>
        <v>0</v>
      </c>
      <c r="AR18" s="132">
        <f t="shared" si="23"/>
        <v>0</v>
      </c>
      <c r="AS18" s="132">
        <f t="shared" si="24"/>
        <v>0</v>
      </c>
      <c r="AT18" s="132">
        <f t="shared" si="25"/>
        <v>0</v>
      </c>
      <c r="AU18" s="272">
        <f t="shared" si="26"/>
        <v>0</v>
      </c>
      <c r="AV18" s="177">
        <v>0</v>
      </c>
      <c r="AW18" s="132">
        <v>0</v>
      </c>
      <c r="AX18" s="132">
        <v>0</v>
      </c>
      <c r="AY18" s="132">
        <v>0</v>
      </c>
      <c r="AZ18" s="132">
        <v>0</v>
      </c>
      <c r="BA18" s="132">
        <v>0</v>
      </c>
      <c r="BB18" s="133">
        <v>0</v>
      </c>
      <c r="BC18" s="132">
        <v>0</v>
      </c>
      <c r="BD18" s="132">
        <v>0</v>
      </c>
      <c r="BE18" s="132">
        <v>0</v>
      </c>
      <c r="BF18" s="132">
        <v>0</v>
      </c>
      <c r="BG18" s="132">
        <v>0</v>
      </c>
      <c r="BH18" s="272">
        <f t="shared" si="8"/>
        <v>0</v>
      </c>
      <c r="BI18" s="294">
        <f t="shared" si="27"/>
        <v>0</v>
      </c>
      <c r="BJ18" s="295">
        <f t="shared" si="28"/>
        <v>0</v>
      </c>
      <c r="BK18" s="296">
        <f t="shared" si="29"/>
        <v>0</v>
      </c>
    </row>
    <row r="19" spans="1:63" ht="21" customHeight="1">
      <c r="A19" s="136" t="s">
        <v>133</v>
      </c>
      <c r="B19" s="130" t="s">
        <v>136</v>
      </c>
      <c r="C19" s="130" t="s">
        <v>139</v>
      </c>
      <c r="D19" s="130" t="s">
        <v>137</v>
      </c>
      <c r="E19" s="130" t="s">
        <v>150</v>
      </c>
      <c r="F19" s="130" t="s">
        <v>195</v>
      </c>
      <c r="G19" s="131" t="s">
        <v>151</v>
      </c>
      <c r="H19" s="177">
        <f>U19-SUM(I19:M19)</f>
        <v>0</v>
      </c>
      <c r="I19" s="132">
        <v>-178975915</v>
      </c>
      <c r="J19" s="132">
        <v>0</v>
      </c>
      <c r="K19" s="132">
        <v>0</v>
      </c>
      <c r="L19" s="132">
        <v>0</v>
      </c>
      <c r="M19" s="132">
        <v>185472761</v>
      </c>
      <c r="N19" s="272">
        <f>SUM(H19:M19)</f>
        <v>6496846</v>
      </c>
      <c r="O19" s="177">
        <v>0</v>
      </c>
      <c r="P19" s="132">
        <v>-178975915</v>
      </c>
      <c r="Q19" s="132">
        <v>0</v>
      </c>
      <c r="R19" s="132">
        <v>0</v>
      </c>
      <c r="S19" s="132">
        <v>0</v>
      </c>
      <c r="T19" s="132">
        <v>185472761</v>
      </c>
      <c r="U19" s="272">
        <f>SUM(O19:T19)</f>
        <v>6496846</v>
      </c>
      <c r="V19" s="177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3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272">
        <f>SUM(V19:AG19)</f>
        <v>0</v>
      </c>
      <c r="AI19" s="177">
        <f aca="true" t="shared" si="31" ref="AI19:AT19">AV19</f>
        <v>0</v>
      </c>
      <c r="AJ19" s="132">
        <f t="shared" si="31"/>
        <v>0</v>
      </c>
      <c r="AK19" s="132">
        <f t="shared" si="31"/>
        <v>0</v>
      </c>
      <c r="AL19" s="132">
        <f t="shared" si="31"/>
        <v>0</v>
      </c>
      <c r="AM19" s="132">
        <f t="shared" si="31"/>
        <v>0</v>
      </c>
      <c r="AN19" s="132">
        <f t="shared" si="31"/>
        <v>0</v>
      </c>
      <c r="AO19" s="133">
        <f t="shared" si="31"/>
        <v>0</v>
      </c>
      <c r="AP19" s="132">
        <f t="shared" si="31"/>
        <v>0</v>
      </c>
      <c r="AQ19" s="132">
        <f t="shared" si="31"/>
        <v>0</v>
      </c>
      <c r="AR19" s="132">
        <f t="shared" si="31"/>
        <v>0</v>
      </c>
      <c r="AS19" s="132">
        <f t="shared" si="31"/>
        <v>0</v>
      </c>
      <c r="AT19" s="132">
        <f t="shared" si="31"/>
        <v>0</v>
      </c>
      <c r="AU19" s="272">
        <f>SUM(AI19:AT19)</f>
        <v>0</v>
      </c>
      <c r="AV19" s="177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3">
        <v>0</v>
      </c>
      <c r="BC19" s="132">
        <v>0</v>
      </c>
      <c r="BD19" s="132">
        <v>0</v>
      </c>
      <c r="BE19" s="132">
        <v>0</v>
      </c>
      <c r="BF19" s="132">
        <v>0</v>
      </c>
      <c r="BG19" s="132">
        <v>0</v>
      </c>
      <c r="BH19" s="272">
        <f>SUM(AV19:BG19)</f>
        <v>0</v>
      </c>
      <c r="BI19" s="294">
        <f>U19-AH19</f>
        <v>6496846</v>
      </c>
      <c r="BJ19" s="295">
        <f>AH19-AU19</f>
        <v>0</v>
      </c>
      <c r="BK19" s="296">
        <f>AU19-BH19</f>
        <v>0</v>
      </c>
    </row>
    <row r="20" spans="1:63" ht="21" customHeight="1">
      <c r="A20" s="136" t="s">
        <v>133</v>
      </c>
      <c r="B20" s="130" t="s">
        <v>136</v>
      </c>
      <c r="C20" s="130" t="s">
        <v>139</v>
      </c>
      <c r="D20" s="130" t="s">
        <v>142</v>
      </c>
      <c r="E20" s="130" t="s">
        <v>150</v>
      </c>
      <c r="F20" s="130" t="s">
        <v>140</v>
      </c>
      <c r="G20" s="131" t="s">
        <v>152</v>
      </c>
      <c r="H20" s="177">
        <f t="shared" si="13"/>
        <v>669537880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272">
        <f t="shared" si="1"/>
        <v>669537880</v>
      </c>
      <c r="O20" s="177">
        <v>670137880</v>
      </c>
      <c r="P20" s="132">
        <v>-600000</v>
      </c>
      <c r="Q20" s="132">
        <v>0</v>
      </c>
      <c r="R20" s="132">
        <v>0</v>
      </c>
      <c r="S20" s="132">
        <v>0</v>
      </c>
      <c r="T20" s="132">
        <v>0</v>
      </c>
      <c r="U20" s="272">
        <f t="shared" si="3"/>
        <v>669537880</v>
      </c>
      <c r="V20" s="177">
        <v>177985105</v>
      </c>
      <c r="W20" s="132">
        <v>27920819</v>
      </c>
      <c r="X20" s="132">
        <v>6367241</v>
      </c>
      <c r="Y20" s="132">
        <v>62577046</v>
      </c>
      <c r="Z20" s="132">
        <v>34762362</v>
      </c>
      <c r="AA20" s="132">
        <v>21473794</v>
      </c>
      <c r="AB20" s="133">
        <v>12205744</v>
      </c>
      <c r="AC20" s="132">
        <v>11295221</v>
      </c>
      <c r="AD20" s="132">
        <v>6475387</v>
      </c>
      <c r="AE20" s="132">
        <v>18292435</v>
      </c>
      <c r="AF20" s="132">
        <v>11248425</v>
      </c>
      <c r="AG20" s="132">
        <v>125721993</v>
      </c>
      <c r="AH20" s="272">
        <f t="shared" si="5"/>
        <v>516325572</v>
      </c>
      <c r="AI20" s="177">
        <f t="shared" si="14"/>
        <v>0</v>
      </c>
      <c r="AJ20" s="132">
        <f t="shared" si="15"/>
        <v>31278801</v>
      </c>
      <c r="AK20" s="132">
        <f t="shared" si="16"/>
        <v>44387964</v>
      </c>
      <c r="AL20" s="132">
        <f t="shared" si="17"/>
        <v>37777481</v>
      </c>
      <c r="AM20" s="132">
        <f t="shared" si="18"/>
        <v>34594774</v>
      </c>
      <c r="AN20" s="132">
        <f t="shared" si="19"/>
        <v>32428356</v>
      </c>
      <c r="AO20" s="133">
        <f t="shared" si="20"/>
        <v>30221349</v>
      </c>
      <c r="AP20" s="132">
        <f t="shared" si="21"/>
        <v>38534335</v>
      </c>
      <c r="AQ20" s="132">
        <f t="shared" si="22"/>
        <v>32091227</v>
      </c>
      <c r="AR20" s="132">
        <f t="shared" si="23"/>
        <v>28556122</v>
      </c>
      <c r="AS20" s="132">
        <f t="shared" si="24"/>
        <v>28060197</v>
      </c>
      <c r="AT20" s="132">
        <f>BG20+2883033</f>
        <v>46740515</v>
      </c>
      <c r="AU20" s="272">
        <f t="shared" si="26"/>
        <v>384671121</v>
      </c>
      <c r="AV20" s="177">
        <v>0</v>
      </c>
      <c r="AW20" s="132">
        <v>31278801</v>
      </c>
      <c r="AX20" s="132">
        <v>44387964</v>
      </c>
      <c r="AY20" s="132">
        <v>37777481</v>
      </c>
      <c r="AZ20" s="132">
        <v>34594774</v>
      </c>
      <c r="BA20" s="132">
        <v>32428356</v>
      </c>
      <c r="BB20" s="133">
        <v>30221349</v>
      </c>
      <c r="BC20" s="132">
        <v>38534335</v>
      </c>
      <c r="BD20" s="132">
        <v>32091227</v>
      </c>
      <c r="BE20" s="132">
        <v>28556122</v>
      </c>
      <c r="BF20" s="132">
        <v>28060197</v>
      </c>
      <c r="BG20" s="132">
        <v>43857482</v>
      </c>
      <c r="BH20" s="272">
        <f t="shared" si="8"/>
        <v>381788088</v>
      </c>
      <c r="BI20" s="294">
        <f t="shared" si="27"/>
        <v>153212308</v>
      </c>
      <c r="BJ20" s="295">
        <f t="shared" si="28"/>
        <v>131654451</v>
      </c>
      <c r="BK20" s="296">
        <f t="shared" si="29"/>
        <v>2883033</v>
      </c>
    </row>
    <row r="21" spans="1:63" ht="21" customHeight="1">
      <c r="A21" s="136" t="s">
        <v>133</v>
      </c>
      <c r="B21" s="130" t="s">
        <v>136</v>
      </c>
      <c r="C21" s="130" t="s">
        <v>139</v>
      </c>
      <c r="D21" s="130" t="s">
        <v>144</v>
      </c>
      <c r="E21" s="130" t="s">
        <v>134</v>
      </c>
      <c r="F21" s="130" t="s">
        <v>140</v>
      </c>
      <c r="G21" s="131" t="s">
        <v>153</v>
      </c>
      <c r="H21" s="177">
        <f t="shared" si="13"/>
        <v>625817228</v>
      </c>
      <c r="I21" s="132">
        <v>0</v>
      </c>
      <c r="J21" s="132">
        <v>90286206</v>
      </c>
      <c r="K21" s="132">
        <v>0</v>
      </c>
      <c r="L21" s="132">
        <v>0</v>
      </c>
      <c r="M21" s="132">
        <v>0</v>
      </c>
      <c r="N21" s="272">
        <f t="shared" si="1"/>
        <v>716103434</v>
      </c>
      <c r="O21" s="177">
        <v>493920052</v>
      </c>
      <c r="P21" s="132">
        <v>0</v>
      </c>
      <c r="Q21" s="132">
        <f>131897176+90286206</f>
        <v>222183382</v>
      </c>
      <c r="R21" s="132">
        <v>0</v>
      </c>
      <c r="S21" s="132">
        <v>0</v>
      </c>
      <c r="T21" s="132">
        <v>0</v>
      </c>
      <c r="U21" s="272">
        <f t="shared" si="3"/>
        <v>716103434</v>
      </c>
      <c r="V21" s="177">
        <v>706933</v>
      </c>
      <c r="W21" s="132">
        <v>66982626</v>
      </c>
      <c r="X21" s="132">
        <v>29593238</v>
      </c>
      <c r="Y21" s="132">
        <v>68378344</v>
      </c>
      <c r="Z21" s="132">
        <v>58147931</v>
      </c>
      <c r="AA21" s="132">
        <v>49111241</v>
      </c>
      <c r="AB21" s="133">
        <v>37199605</v>
      </c>
      <c r="AC21" s="132">
        <v>43705908</v>
      </c>
      <c r="AD21" s="132">
        <v>28343838</v>
      </c>
      <c r="AE21" s="132">
        <v>25928575</v>
      </c>
      <c r="AF21" s="132">
        <v>145905454</v>
      </c>
      <c r="AG21" s="132">
        <v>112703085</v>
      </c>
      <c r="AH21" s="272">
        <f t="shared" si="5"/>
        <v>666706778</v>
      </c>
      <c r="AI21" s="177">
        <f t="shared" si="14"/>
        <v>706933</v>
      </c>
      <c r="AJ21" s="132">
        <f t="shared" si="15"/>
        <v>65820525</v>
      </c>
      <c r="AK21" s="132">
        <f t="shared" si="16"/>
        <v>29733771</v>
      </c>
      <c r="AL21" s="132">
        <f t="shared" si="17"/>
        <v>67772735</v>
      </c>
      <c r="AM21" s="132">
        <f t="shared" si="18"/>
        <v>58651552</v>
      </c>
      <c r="AN21" s="132">
        <f t="shared" si="19"/>
        <v>48938531</v>
      </c>
      <c r="AO21" s="133">
        <v>36680282</v>
      </c>
      <c r="AP21" s="132">
        <f t="shared" si="21"/>
        <v>43628070</v>
      </c>
      <c r="AQ21" s="132">
        <f t="shared" si="22"/>
        <v>28964315</v>
      </c>
      <c r="AR21" s="132">
        <f t="shared" si="23"/>
        <v>25994063</v>
      </c>
      <c r="AS21" s="132">
        <f t="shared" si="24"/>
        <v>145171648</v>
      </c>
      <c r="AT21" s="132">
        <f t="shared" si="25"/>
        <v>114644353</v>
      </c>
      <c r="AU21" s="272">
        <f t="shared" si="26"/>
        <v>666706778</v>
      </c>
      <c r="AV21" s="177">
        <v>706933</v>
      </c>
      <c r="AW21" s="132">
        <v>65820525</v>
      </c>
      <c r="AX21" s="132">
        <v>29733771</v>
      </c>
      <c r="AY21" s="132">
        <v>67772735</v>
      </c>
      <c r="AZ21" s="132">
        <v>58651552</v>
      </c>
      <c r="BA21" s="132">
        <v>48938531</v>
      </c>
      <c r="BB21" s="133">
        <v>36680282</v>
      </c>
      <c r="BC21" s="132">
        <v>43628070</v>
      </c>
      <c r="BD21" s="132">
        <v>28964315</v>
      </c>
      <c r="BE21" s="132">
        <v>25994063</v>
      </c>
      <c r="BF21" s="132">
        <v>145171648</v>
      </c>
      <c r="BG21" s="132">
        <v>114644353</v>
      </c>
      <c r="BH21" s="272">
        <f t="shared" si="8"/>
        <v>666706778</v>
      </c>
      <c r="BI21" s="294">
        <f t="shared" si="27"/>
        <v>49396656</v>
      </c>
      <c r="BJ21" s="295">
        <f t="shared" si="28"/>
        <v>0</v>
      </c>
      <c r="BK21" s="296">
        <f t="shared" si="29"/>
        <v>0</v>
      </c>
    </row>
    <row r="22" spans="1:63" ht="21" customHeight="1">
      <c r="A22" s="136" t="s">
        <v>133</v>
      </c>
      <c r="B22" s="130" t="s">
        <v>136</v>
      </c>
      <c r="C22" s="130" t="s">
        <v>139</v>
      </c>
      <c r="D22" s="130" t="s">
        <v>146</v>
      </c>
      <c r="E22" s="130" t="s">
        <v>134</v>
      </c>
      <c r="F22" s="130" t="s">
        <v>140</v>
      </c>
      <c r="G22" s="131" t="s">
        <v>154</v>
      </c>
      <c r="H22" s="177">
        <f t="shared" si="13"/>
        <v>1374112056</v>
      </c>
      <c r="I22" s="132">
        <v>0</v>
      </c>
      <c r="J22" s="132">
        <v>25590083</v>
      </c>
      <c r="K22" s="132">
        <v>0</v>
      </c>
      <c r="L22" s="132">
        <v>0</v>
      </c>
      <c r="M22" s="132">
        <v>0</v>
      </c>
      <c r="N22" s="272">
        <f t="shared" si="1"/>
        <v>1399702139</v>
      </c>
      <c r="O22" s="177">
        <v>1374112056</v>
      </c>
      <c r="P22" s="132">
        <v>0</v>
      </c>
      <c r="Q22" s="132">
        <v>25590083</v>
      </c>
      <c r="R22" s="132">
        <v>0</v>
      </c>
      <c r="S22" s="132">
        <v>0</v>
      </c>
      <c r="T22" s="132">
        <v>0</v>
      </c>
      <c r="U22" s="272">
        <f t="shared" si="3"/>
        <v>1399702139</v>
      </c>
      <c r="V22" s="177">
        <v>2317040</v>
      </c>
      <c r="W22" s="132">
        <v>148964816</v>
      </c>
      <c r="X22" s="132">
        <v>70017105</v>
      </c>
      <c r="Y22" s="132">
        <v>111830142</v>
      </c>
      <c r="Z22" s="132">
        <v>104072598</v>
      </c>
      <c r="AA22" s="132">
        <v>94022790</v>
      </c>
      <c r="AB22" s="133">
        <v>142107506</v>
      </c>
      <c r="AC22" s="132">
        <v>150508867</v>
      </c>
      <c r="AD22" s="132">
        <v>112070724</v>
      </c>
      <c r="AE22" s="132">
        <v>67885165</v>
      </c>
      <c r="AF22" s="132">
        <v>59033167</v>
      </c>
      <c r="AG22" s="132">
        <v>226377901</v>
      </c>
      <c r="AH22" s="272">
        <f t="shared" si="5"/>
        <v>1289207821</v>
      </c>
      <c r="AI22" s="177">
        <f t="shared" si="14"/>
        <v>2317040</v>
      </c>
      <c r="AJ22" s="132">
        <f t="shared" si="15"/>
        <v>147040909</v>
      </c>
      <c r="AK22" s="132">
        <f t="shared" si="16"/>
        <v>70463370</v>
      </c>
      <c r="AL22" s="132">
        <f t="shared" si="17"/>
        <v>111572836</v>
      </c>
      <c r="AM22" s="132">
        <f t="shared" si="18"/>
        <v>104469275</v>
      </c>
      <c r="AN22" s="132">
        <f t="shared" si="19"/>
        <v>93799391</v>
      </c>
      <c r="AO22" s="133">
        <f t="shared" si="20"/>
        <v>141714335</v>
      </c>
      <c r="AP22" s="132">
        <f t="shared" si="21"/>
        <v>149018997</v>
      </c>
      <c r="AQ22" s="132">
        <f t="shared" si="22"/>
        <v>110765989</v>
      </c>
      <c r="AR22" s="132">
        <f t="shared" si="23"/>
        <v>68627086</v>
      </c>
      <c r="AS22" s="132">
        <f t="shared" si="24"/>
        <v>59172567</v>
      </c>
      <c r="AT22" s="132">
        <f t="shared" si="25"/>
        <v>230246026</v>
      </c>
      <c r="AU22" s="272">
        <f t="shared" si="26"/>
        <v>1289207821</v>
      </c>
      <c r="AV22" s="177">
        <v>2317040</v>
      </c>
      <c r="AW22" s="132">
        <v>147040909</v>
      </c>
      <c r="AX22" s="132">
        <v>70463370</v>
      </c>
      <c r="AY22" s="132">
        <v>111572836</v>
      </c>
      <c r="AZ22" s="132">
        <v>104469275</v>
      </c>
      <c r="BA22" s="132">
        <v>93799391</v>
      </c>
      <c r="BB22" s="133">
        <v>141714335</v>
      </c>
      <c r="BC22" s="132">
        <v>149018997</v>
      </c>
      <c r="BD22" s="132">
        <v>110765989</v>
      </c>
      <c r="BE22" s="132">
        <v>68627086</v>
      </c>
      <c r="BF22" s="132">
        <v>59172567</v>
      </c>
      <c r="BG22" s="132">
        <v>230246026</v>
      </c>
      <c r="BH22" s="272">
        <f t="shared" si="8"/>
        <v>1289207821</v>
      </c>
      <c r="BI22" s="294">
        <f t="shared" si="27"/>
        <v>110494318</v>
      </c>
      <c r="BJ22" s="295">
        <f t="shared" si="28"/>
        <v>0</v>
      </c>
      <c r="BK22" s="296">
        <f t="shared" si="29"/>
        <v>0</v>
      </c>
    </row>
    <row r="23" spans="1:63" ht="21" customHeight="1">
      <c r="A23" s="136" t="s">
        <v>133</v>
      </c>
      <c r="B23" s="130" t="s">
        <v>136</v>
      </c>
      <c r="C23" s="130" t="s">
        <v>139</v>
      </c>
      <c r="D23" s="130" t="s">
        <v>155</v>
      </c>
      <c r="E23" s="130" t="s">
        <v>134</v>
      </c>
      <c r="F23" s="130" t="s">
        <v>140</v>
      </c>
      <c r="G23" s="131" t="s">
        <v>156</v>
      </c>
      <c r="H23" s="177">
        <f t="shared" si="13"/>
        <v>600000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272">
        <f t="shared" si="1"/>
        <v>600000</v>
      </c>
      <c r="O23" s="177">
        <v>0</v>
      </c>
      <c r="P23" s="132">
        <v>0</v>
      </c>
      <c r="Q23" s="132">
        <v>600000</v>
      </c>
      <c r="R23" s="132">
        <v>0</v>
      </c>
      <c r="S23" s="132">
        <v>0</v>
      </c>
      <c r="T23" s="132">
        <v>0</v>
      </c>
      <c r="U23" s="272">
        <f t="shared" si="3"/>
        <v>600000</v>
      </c>
      <c r="V23" s="177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3">
        <v>0</v>
      </c>
      <c r="AC23" s="132">
        <v>0</v>
      </c>
      <c r="AD23" s="132">
        <v>0</v>
      </c>
      <c r="AE23" s="132">
        <v>0</v>
      </c>
      <c r="AF23" s="132">
        <v>600000</v>
      </c>
      <c r="AG23" s="132">
        <v>0</v>
      </c>
      <c r="AH23" s="272">
        <f t="shared" si="5"/>
        <v>600000</v>
      </c>
      <c r="AI23" s="177">
        <f t="shared" si="14"/>
        <v>0</v>
      </c>
      <c r="AJ23" s="132">
        <f t="shared" si="15"/>
        <v>0</v>
      </c>
      <c r="AK23" s="132">
        <f t="shared" si="16"/>
        <v>0</v>
      </c>
      <c r="AL23" s="132">
        <f t="shared" si="17"/>
        <v>0</v>
      </c>
      <c r="AM23" s="132">
        <f t="shared" si="18"/>
        <v>0</v>
      </c>
      <c r="AN23" s="132">
        <f t="shared" si="19"/>
        <v>0</v>
      </c>
      <c r="AO23" s="133">
        <f t="shared" si="20"/>
        <v>0</v>
      </c>
      <c r="AP23" s="132">
        <f t="shared" si="21"/>
        <v>0</v>
      </c>
      <c r="AQ23" s="132">
        <f t="shared" si="22"/>
        <v>0</v>
      </c>
      <c r="AR23" s="132">
        <f t="shared" si="23"/>
        <v>0</v>
      </c>
      <c r="AS23" s="132">
        <f t="shared" si="24"/>
        <v>600000</v>
      </c>
      <c r="AT23" s="132">
        <f t="shared" si="25"/>
        <v>0</v>
      </c>
      <c r="AU23" s="272">
        <f t="shared" si="26"/>
        <v>600000</v>
      </c>
      <c r="AV23" s="177">
        <v>0</v>
      </c>
      <c r="AW23" s="132">
        <v>0</v>
      </c>
      <c r="AX23" s="132">
        <v>0</v>
      </c>
      <c r="AY23" s="132">
        <v>0</v>
      </c>
      <c r="AZ23" s="132">
        <v>0</v>
      </c>
      <c r="BA23" s="132">
        <v>0</v>
      </c>
      <c r="BB23" s="133">
        <v>0</v>
      </c>
      <c r="BC23" s="132">
        <v>0</v>
      </c>
      <c r="BD23" s="132">
        <v>0</v>
      </c>
      <c r="BE23" s="132">
        <v>0</v>
      </c>
      <c r="BF23" s="132">
        <v>600000</v>
      </c>
      <c r="BG23" s="132">
        <v>0</v>
      </c>
      <c r="BH23" s="272">
        <f t="shared" si="8"/>
        <v>600000</v>
      </c>
      <c r="BI23" s="294">
        <f t="shared" si="27"/>
        <v>0</v>
      </c>
      <c r="BJ23" s="295">
        <f t="shared" si="28"/>
        <v>0</v>
      </c>
      <c r="BK23" s="296">
        <f t="shared" si="29"/>
        <v>0</v>
      </c>
    </row>
    <row r="24" spans="1:63" s="102" customFormat="1" ht="21" customHeight="1">
      <c r="A24" s="186" t="s">
        <v>133</v>
      </c>
      <c r="B24" s="187" t="s">
        <v>136</v>
      </c>
      <c r="C24" s="188" t="s">
        <v>142</v>
      </c>
      <c r="D24" s="187" t="s">
        <v>134</v>
      </c>
      <c r="E24" s="187" t="s">
        <v>134</v>
      </c>
      <c r="F24" s="187"/>
      <c r="G24" s="189" t="s">
        <v>157</v>
      </c>
      <c r="H24" s="190">
        <f aca="true" t="shared" si="32" ref="H24:M24">SUM(H25:H30)</f>
        <v>3311774000</v>
      </c>
      <c r="I24" s="191">
        <f t="shared" si="32"/>
        <v>0</v>
      </c>
      <c r="J24" s="191">
        <f t="shared" si="32"/>
        <v>0</v>
      </c>
      <c r="K24" s="191">
        <f t="shared" si="32"/>
        <v>0</v>
      </c>
      <c r="L24" s="191">
        <f t="shared" si="32"/>
        <v>0</v>
      </c>
      <c r="M24" s="191">
        <f t="shared" si="32"/>
        <v>919092428</v>
      </c>
      <c r="N24" s="192">
        <f t="shared" si="1"/>
        <v>4230866428</v>
      </c>
      <c r="O24" s="190">
        <f aca="true" t="shared" si="33" ref="O24:T24">SUM(O25:O30)</f>
        <v>3311774000</v>
      </c>
      <c r="P24" s="191">
        <f t="shared" si="33"/>
        <v>-335000000</v>
      </c>
      <c r="Q24" s="191">
        <f t="shared" si="33"/>
        <v>335000000</v>
      </c>
      <c r="R24" s="191">
        <f t="shared" si="33"/>
        <v>0</v>
      </c>
      <c r="S24" s="191">
        <f t="shared" si="33"/>
        <v>0</v>
      </c>
      <c r="T24" s="191">
        <f t="shared" si="33"/>
        <v>919092428</v>
      </c>
      <c r="U24" s="192">
        <f aca="true" t="shared" si="34" ref="U24:U36">SUM(O24:T24)</f>
        <v>4230866428</v>
      </c>
      <c r="V24" s="190">
        <f aca="true" t="shared" si="35" ref="V24:AG24">SUM(V25:V30)</f>
        <v>471467358</v>
      </c>
      <c r="W24" s="191">
        <f t="shared" si="35"/>
        <v>681173690</v>
      </c>
      <c r="X24" s="191">
        <f t="shared" si="35"/>
        <v>396799992</v>
      </c>
      <c r="Y24" s="191">
        <f t="shared" si="35"/>
        <v>259890017</v>
      </c>
      <c r="Z24" s="191">
        <f t="shared" si="35"/>
        <v>260302465</v>
      </c>
      <c r="AA24" s="191">
        <f t="shared" si="35"/>
        <v>193284464</v>
      </c>
      <c r="AB24" s="193">
        <f t="shared" si="35"/>
        <v>166039122</v>
      </c>
      <c r="AC24" s="191">
        <f t="shared" si="35"/>
        <v>248442518</v>
      </c>
      <c r="AD24" s="191">
        <f t="shared" si="35"/>
        <v>178512627</v>
      </c>
      <c r="AE24" s="191">
        <f t="shared" si="35"/>
        <v>149240233</v>
      </c>
      <c r="AF24" s="191">
        <f t="shared" si="35"/>
        <v>112629731</v>
      </c>
      <c r="AG24" s="191">
        <f t="shared" si="35"/>
        <v>839544790</v>
      </c>
      <c r="AH24" s="192">
        <f aca="true" t="shared" si="36" ref="AH24:AH36">SUM(V24:AG24)</f>
        <v>3957327007</v>
      </c>
      <c r="AI24" s="190">
        <f aca="true" t="shared" si="37" ref="AI24:AT24">SUM(AI25:AI30)</f>
        <v>55715990</v>
      </c>
      <c r="AJ24" s="191">
        <f t="shared" si="37"/>
        <v>255427758</v>
      </c>
      <c r="AK24" s="191">
        <f t="shared" si="37"/>
        <v>277232521</v>
      </c>
      <c r="AL24" s="191">
        <f t="shared" si="37"/>
        <v>280288956</v>
      </c>
      <c r="AM24" s="191">
        <f t="shared" si="37"/>
        <v>408764978</v>
      </c>
      <c r="AN24" s="191">
        <f t="shared" si="37"/>
        <v>400930613</v>
      </c>
      <c r="AO24" s="193">
        <f t="shared" si="37"/>
        <v>208419545</v>
      </c>
      <c r="AP24" s="191">
        <f t="shared" si="37"/>
        <v>347061571</v>
      </c>
      <c r="AQ24" s="191">
        <f t="shared" si="37"/>
        <v>277639432</v>
      </c>
      <c r="AR24" s="191">
        <f t="shared" si="37"/>
        <v>241220236</v>
      </c>
      <c r="AS24" s="191">
        <f t="shared" si="37"/>
        <v>190687327</v>
      </c>
      <c r="AT24" s="191">
        <f t="shared" si="37"/>
        <v>824636391</v>
      </c>
      <c r="AU24" s="192">
        <f aca="true" t="shared" si="38" ref="AU24:AU30">SUM(AI24:AT24)</f>
        <v>3768025318</v>
      </c>
      <c r="AV24" s="190">
        <f aca="true" t="shared" si="39" ref="AV24:BG24">SUM(AV25:AV30)</f>
        <v>55715990</v>
      </c>
      <c r="AW24" s="191">
        <f t="shared" si="39"/>
        <v>255427758</v>
      </c>
      <c r="AX24" s="191">
        <f t="shared" si="39"/>
        <v>277232521</v>
      </c>
      <c r="AY24" s="191">
        <f t="shared" si="39"/>
        <v>280288956</v>
      </c>
      <c r="AZ24" s="191">
        <f t="shared" si="39"/>
        <v>408764978</v>
      </c>
      <c r="BA24" s="191">
        <f t="shared" si="39"/>
        <v>400930613</v>
      </c>
      <c r="BB24" s="193">
        <f t="shared" si="39"/>
        <v>208419545</v>
      </c>
      <c r="BC24" s="191">
        <f t="shared" si="39"/>
        <v>347061571</v>
      </c>
      <c r="BD24" s="191">
        <f t="shared" si="39"/>
        <v>277639432</v>
      </c>
      <c r="BE24" s="191">
        <f t="shared" si="39"/>
        <v>241220236</v>
      </c>
      <c r="BF24" s="191">
        <f t="shared" si="39"/>
        <v>190687327</v>
      </c>
      <c r="BG24" s="191">
        <f t="shared" si="39"/>
        <v>728757590</v>
      </c>
      <c r="BH24" s="192">
        <f aca="true" t="shared" si="40" ref="BH24:BH36">SUM(AV24:BG24)</f>
        <v>3672146517</v>
      </c>
      <c r="BI24" s="291">
        <f aca="true" t="shared" si="41" ref="BI24:BI39">U24-AH24</f>
        <v>273539421</v>
      </c>
      <c r="BJ24" s="292">
        <f aca="true" t="shared" si="42" ref="BJ24:BJ39">AH24-AU24</f>
        <v>189301689</v>
      </c>
      <c r="BK24" s="293">
        <f aca="true" t="shared" si="43" ref="BK24:BK39">AU24-BH24</f>
        <v>95878801</v>
      </c>
    </row>
    <row r="25" spans="1:63" ht="21" customHeight="1">
      <c r="A25" s="136" t="s">
        <v>133</v>
      </c>
      <c r="B25" s="130" t="s">
        <v>136</v>
      </c>
      <c r="C25" s="130" t="s">
        <v>158</v>
      </c>
      <c r="D25" s="130" t="s">
        <v>137</v>
      </c>
      <c r="E25" s="130" t="s">
        <v>134</v>
      </c>
      <c r="F25" s="130" t="s">
        <v>140</v>
      </c>
      <c r="G25" s="131" t="s">
        <v>159</v>
      </c>
      <c r="H25" s="177">
        <f aca="true" t="shared" si="44" ref="H25:H30">U25-SUM(I25:M25)</f>
        <v>457219160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272">
        <f t="shared" si="1"/>
        <v>457219160</v>
      </c>
      <c r="O25" s="177">
        <v>442219160</v>
      </c>
      <c r="P25" s="132">
        <v>0</v>
      </c>
      <c r="Q25" s="132">
        <v>15000000</v>
      </c>
      <c r="R25" s="132">
        <v>0</v>
      </c>
      <c r="S25" s="132">
        <v>0</v>
      </c>
      <c r="T25" s="132">
        <v>0</v>
      </c>
      <c r="U25" s="272">
        <f t="shared" si="34"/>
        <v>457219160</v>
      </c>
      <c r="V25" s="177">
        <v>39616423</v>
      </c>
      <c r="W25" s="132">
        <v>60767845</v>
      </c>
      <c r="X25" s="132">
        <v>65596692</v>
      </c>
      <c r="Y25" s="132">
        <v>71965852</v>
      </c>
      <c r="Z25" s="132">
        <v>32420052</v>
      </c>
      <c r="AA25" s="132">
        <v>19338041</v>
      </c>
      <c r="AB25" s="133">
        <v>21962222</v>
      </c>
      <c r="AC25" s="132">
        <v>47615314</v>
      </c>
      <c r="AD25" s="132">
        <v>23844195</v>
      </c>
      <c r="AE25" s="132">
        <v>17112717</v>
      </c>
      <c r="AF25" s="132">
        <v>18169090</v>
      </c>
      <c r="AG25" s="132">
        <f>272513578-233702861</f>
        <v>38810717</v>
      </c>
      <c r="AH25" s="272">
        <f t="shared" si="36"/>
        <v>457219160</v>
      </c>
      <c r="AI25" s="177">
        <f aca="true" t="shared" si="45" ref="AI25:AT30">AV25</f>
        <v>1007916</v>
      </c>
      <c r="AJ25" s="132">
        <f t="shared" si="45"/>
        <v>24920191</v>
      </c>
      <c r="AK25" s="132">
        <f t="shared" si="45"/>
        <v>44388407</v>
      </c>
      <c r="AL25" s="132">
        <f t="shared" si="45"/>
        <v>83491083</v>
      </c>
      <c r="AM25" s="132">
        <f t="shared" si="45"/>
        <v>50865674</v>
      </c>
      <c r="AN25" s="132">
        <f t="shared" si="45"/>
        <v>39146787</v>
      </c>
      <c r="AO25" s="133">
        <f t="shared" si="45"/>
        <v>16635562</v>
      </c>
      <c r="AP25" s="132">
        <f t="shared" si="45"/>
        <v>53142099</v>
      </c>
      <c r="AQ25" s="132">
        <f t="shared" si="45"/>
        <v>26012651</v>
      </c>
      <c r="AR25" s="132">
        <f t="shared" si="45"/>
        <v>28084863</v>
      </c>
      <c r="AS25" s="132">
        <f t="shared" si="45"/>
        <v>28950060</v>
      </c>
      <c r="AT25" s="132">
        <f t="shared" si="45"/>
        <v>60573867</v>
      </c>
      <c r="AU25" s="272">
        <f t="shared" si="38"/>
        <v>457219160</v>
      </c>
      <c r="AV25" s="177">
        <v>1007916</v>
      </c>
      <c r="AW25" s="132">
        <v>24920191</v>
      </c>
      <c r="AX25" s="132">
        <v>44388407</v>
      </c>
      <c r="AY25" s="132">
        <v>83491083</v>
      </c>
      <c r="AZ25" s="132">
        <v>50865674</v>
      </c>
      <c r="BA25" s="132">
        <v>39146787</v>
      </c>
      <c r="BB25" s="133">
        <v>16635562</v>
      </c>
      <c r="BC25" s="132">
        <v>53142099</v>
      </c>
      <c r="BD25" s="132">
        <v>26012651</v>
      </c>
      <c r="BE25" s="132">
        <v>28084863</v>
      </c>
      <c r="BF25" s="132">
        <v>28950060</v>
      </c>
      <c r="BG25" s="132">
        <f>189012009-128438142</f>
        <v>60573867</v>
      </c>
      <c r="BH25" s="272">
        <f t="shared" si="40"/>
        <v>457219160</v>
      </c>
      <c r="BI25" s="294">
        <f t="shared" si="41"/>
        <v>0</v>
      </c>
      <c r="BJ25" s="295">
        <f t="shared" si="42"/>
        <v>0</v>
      </c>
      <c r="BK25" s="296">
        <f t="shared" si="43"/>
        <v>0</v>
      </c>
    </row>
    <row r="26" spans="1:63" ht="21" customHeight="1">
      <c r="A26" s="136" t="s">
        <v>133</v>
      </c>
      <c r="B26" s="130" t="s">
        <v>136</v>
      </c>
      <c r="C26" s="130" t="s">
        <v>158</v>
      </c>
      <c r="D26" s="130" t="s">
        <v>137</v>
      </c>
      <c r="E26" s="130" t="s">
        <v>134</v>
      </c>
      <c r="F26" s="130" t="s">
        <v>195</v>
      </c>
      <c r="G26" s="131" t="s">
        <v>159</v>
      </c>
      <c r="H26" s="177">
        <f t="shared" si="44"/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255785080</v>
      </c>
      <c r="N26" s="272">
        <f>SUM(H26:M26)</f>
        <v>255785080</v>
      </c>
      <c r="O26" s="177"/>
      <c r="P26" s="132">
        <v>0</v>
      </c>
      <c r="Q26" s="132"/>
      <c r="R26" s="132">
        <v>0</v>
      </c>
      <c r="S26" s="132">
        <v>0</v>
      </c>
      <c r="T26" s="132">
        <v>255785080</v>
      </c>
      <c r="U26" s="272">
        <f>SUM(O26:T26)</f>
        <v>255785080</v>
      </c>
      <c r="V26" s="177"/>
      <c r="W26" s="132"/>
      <c r="X26" s="132"/>
      <c r="Y26" s="132"/>
      <c r="Z26" s="132"/>
      <c r="AA26" s="132"/>
      <c r="AB26" s="133"/>
      <c r="AC26" s="132"/>
      <c r="AD26" s="132"/>
      <c r="AE26" s="132"/>
      <c r="AF26" s="132"/>
      <c r="AG26" s="132">
        <v>233702861</v>
      </c>
      <c r="AH26" s="272">
        <f>SUM(V26:AG26)</f>
        <v>233702861</v>
      </c>
      <c r="AI26" s="177">
        <f aca="true" t="shared" si="46" ref="AI26:AS26">AV26</f>
        <v>0</v>
      </c>
      <c r="AJ26" s="132">
        <f t="shared" si="46"/>
        <v>0</v>
      </c>
      <c r="AK26" s="132">
        <f t="shared" si="46"/>
        <v>0</v>
      </c>
      <c r="AL26" s="132">
        <f t="shared" si="46"/>
        <v>0</v>
      </c>
      <c r="AM26" s="132">
        <f t="shared" si="46"/>
        <v>0</v>
      </c>
      <c r="AN26" s="132">
        <f t="shared" si="46"/>
        <v>0</v>
      </c>
      <c r="AO26" s="133">
        <f t="shared" si="46"/>
        <v>0</v>
      </c>
      <c r="AP26" s="132">
        <f t="shared" si="46"/>
        <v>0</v>
      </c>
      <c r="AQ26" s="132">
        <f t="shared" si="46"/>
        <v>0</v>
      </c>
      <c r="AR26" s="132">
        <f t="shared" si="46"/>
        <v>0</v>
      </c>
      <c r="AS26" s="132">
        <f t="shared" si="46"/>
        <v>0</v>
      </c>
      <c r="AT26" s="132">
        <f>BG26+8249784+18133404</f>
        <v>154821330</v>
      </c>
      <c r="AU26" s="272">
        <f t="shared" si="38"/>
        <v>154821330</v>
      </c>
      <c r="AV26" s="177">
        <v>0</v>
      </c>
      <c r="AW26" s="132">
        <v>0</v>
      </c>
      <c r="AX26" s="132">
        <v>0</v>
      </c>
      <c r="AY26" s="132">
        <v>0</v>
      </c>
      <c r="AZ26" s="132">
        <v>0</v>
      </c>
      <c r="BA26" s="132">
        <v>0</v>
      </c>
      <c r="BB26" s="133">
        <v>0</v>
      </c>
      <c r="BC26" s="132">
        <v>0</v>
      </c>
      <c r="BD26" s="132">
        <v>0</v>
      </c>
      <c r="BE26" s="132">
        <v>0</v>
      </c>
      <c r="BF26" s="132">
        <v>0</v>
      </c>
      <c r="BG26" s="132">
        <v>128438142</v>
      </c>
      <c r="BH26" s="272">
        <f>SUM(AV26:BG26)</f>
        <v>128438142</v>
      </c>
      <c r="BI26" s="294">
        <f>U26-AH26</f>
        <v>22082219</v>
      </c>
      <c r="BJ26" s="295">
        <f>AH26-AU26</f>
        <v>78881531</v>
      </c>
      <c r="BK26" s="296">
        <f>AU26-BH26</f>
        <v>26383188</v>
      </c>
    </row>
    <row r="27" spans="1:63" ht="21" customHeight="1">
      <c r="A27" s="136" t="s">
        <v>133</v>
      </c>
      <c r="B27" s="130" t="s">
        <v>136</v>
      </c>
      <c r="C27" s="130" t="s">
        <v>158</v>
      </c>
      <c r="D27" s="130" t="s">
        <v>142</v>
      </c>
      <c r="E27" s="130" t="s">
        <v>134</v>
      </c>
      <c r="F27" s="130" t="s">
        <v>140</v>
      </c>
      <c r="G27" s="131" t="s">
        <v>160</v>
      </c>
      <c r="H27" s="177">
        <f t="shared" si="44"/>
        <v>2779751000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272">
        <f t="shared" si="1"/>
        <v>2779751000</v>
      </c>
      <c r="O27" s="177">
        <v>2459751000</v>
      </c>
      <c r="P27" s="132">
        <v>0</v>
      </c>
      <c r="Q27" s="132">
        <f>210000000+110000000</f>
        <v>320000000</v>
      </c>
      <c r="R27" s="132">
        <v>0</v>
      </c>
      <c r="S27" s="132">
        <v>0</v>
      </c>
      <c r="T27" s="132">
        <v>0</v>
      </c>
      <c r="U27" s="272">
        <f t="shared" si="34"/>
        <v>2779751000</v>
      </c>
      <c r="V27" s="177">
        <v>415307100</v>
      </c>
      <c r="W27" s="132">
        <v>614748741</v>
      </c>
      <c r="X27" s="132">
        <v>319042269</v>
      </c>
      <c r="Y27" s="132">
        <v>187823103</v>
      </c>
      <c r="Z27" s="132">
        <v>224869985</v>
      </c>
      <c r="AA27" s="132">
        <v>172833137</v>
      </c>
      <c r="AB27" s="133">
        <v>144025298</v>
      </c>
      <c r="AC27" s="132">
        <v>200801462</v>
      </c>
      <c r="AD27" s="132">
        <v>154375276</v>
      </c>
      <c r="AE27" s="132">
        <v>132107586</v>
      </c>
      <c r="AF27" s="132">
        <v>94403407</v>
      </c>
      <c r="AG27" s="132">
        <f>570090963-450677327</f>
        <v>119413636</v>
      </c>
      <c r="AH27" s="272">
        <f t="shared" si="36"/>
        <v>2779751000</v>
      </c>
      <c r="AI27" s="177">
        <f t="shared" si="45"/>
        <v>41775039</v>
      </c>
      <c r="AJ27" s="132">
        <f t="shared" si="45"/>
        <v>224950763</v>
      </c>
      <c r="AK27" s="132">
        <f t="shared" si="45"/>
        <v>220625651</v>
      </c>
      <c r="AL27" s="132">
        <f t="shared" si="45"/>
        <v>196696811</v>
      </c>
      <c r="AM27" s="132">
        <f t="shared" si="45"/>
        <v>354896067</v>
      </c>
      <c r="AN27" s="132">
        <f t="shared" si="45"/>
        <v>360525016</v>
      </c>
      <c r="AO27" s="133">
        <f t="shared" si="45"/>
        <v>191732381</v>
      </c>
      <c r="AP27" s="132">
        <f t="shared" si="45"/>
        <v>293870104</v>
      </c>
      <c r="AQ27" s="132">
        <f t="shared" si="45"/>
        <v>251300907</v>
      </c>
      <c r="AR27" s="132">
        <f t="shared" si="45"/>
        <v>213115443</v>
      </c>
      <c r="AS27" s="132">
        <f t="shared" si="45"/>
        <v>161632090</v>
      </c>
      <c r="AT27" s="132">
        <f t="shared" si="45"/>
        <v>268630728</v>
      </c>
      <c r="AU27" s="272">
        <f t="shared" si="38"/>
        <v>2779751000</v>
      </c>
      <c r="AV27" s="177">
        <v>41775039</v>
      </c>
      <c r="AW27" s="132">
        <v>224950763</v>
      </c>
      <c r="AX27" s="132">
        <v>220625651</v>
      </c>
      <c r="AY27" s="132">
        <v>196696811</v>
      </c>
      <c r="AZ27" s="132">
        <f>454896067-100000000</f>
        <v>354896067</v>
      </c>
      <c r="BA27" s="133">
        <v>360525016</v>
      </c>
      <c r="BB27" s="133">
        <v>191732381</v>
      </c>
      <c r="BC27" s="132">
        <v>293870104</v>
      </c>
      <c r="BD27" s="132">
        <v>251300907</v>
      </c>
      <c r="BE27" s="132">
        <v>213115443</v>
      </c>
      <c r="BF27" s="132">
        <v>161632090</v>
      </c>
      <c r="BG27" s="132">
        <f>539392284-270761556</f>
        <v>268630728</v>
      </c>
      <c r="BH27" s="272">
        <f t="shared" si="40"/>
        <v>2779751000</v>
      </c>
      <c r="BI27" s="294">
        <f t="shared" si="41"/>
        <v>0</v>
      </c>
      <c r="BJ27" s="295">
        <f t="shared" si="42"/>
        <v>0</v>
      </c>
      <c r="BK27" s="296">
        <f t="shared" si="43"/>
        <v>0</v>
      </c>
    </row>
    <row r="28" spans="1:63" ht="21" customHeight="1">
      <c r="A28" s="136" t="s">
        <v>133</v>
      </c>
      <c r="B28" s="130" t="s">
        <v>136</v>
      </c>
      <c r="C28" s="130" t="s">
        <v>158</v>
      </c>
      <c r="D28" s="130" t="s">
        <v>142</v>
      </c>
      <c r="E28" s="130" t="s">
        <v>134</v>
      </c>
      <c r="F28" s="130" t="s">
        <v>195</v>
      </c>
      <c r="G28" s="131" t="s">
        <v>160</v>
      </c>
      <c r="H28" s="177">
        <f t="shared" si="44"/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511524520</v>
      </c>
      <c r="N28" s="272">
        <f>SUM(H28:M28)</f>
        <v>511524520</v>
      </c>
      <c r="O28" s="177"/>
      <c r="P28" s="132">
        <v>0</v>
      </c>
      <c r="Q28" s="132"/>
      <c r="R28" s="132">
        <v>0</v>
      </c>
      <c r="S28" s="132">
        <v>0</v>
      </c>
      <c r="T28" s="132">
        <v>511524520</v>
      </c>
      <c r="U28" s="272">
        <f>SUM(O28:T28)</f>
        <v>511524520</v>
      </c>
      <c r="V28" s="177"/>
      <c r="W28" s="132"/>
      <c r="X28" s="132"/>
      <c r="Y28" s="132"/>
      <c r="Z28" s="132"/>
      <c r="AA28" s="132"/>
      <c r="AB28" s="133"/>
      <c r="AC28" s="132"/>
      <c r="AD28" s="132"/>
      <c r="AE28" s="132"/>
      <c r="AF28" s="132"/>
      <c r="AG28" s="132">
        <v>450677327</v>
      </c>
      <c r="AH28" s="272">
        <f>SUM(V28:AG28)</f>
        <v>450677327</v>
      </c>
      <c r="AI28" s="177">
        <f aca="true" t="shared" si="47" ref="AI28:AT29">AV28</f>
        <v>0</v>
      </c>
      <c r="AJ28" s="132">
        <f t="shared" si="47"/>
        <v>0</v>
      </c>
      <c r="AK28" s="132">
        <f t="shared" si="47"/>
        <v>0</v>
      </c>
      <c r="AL28" s="132">
        <f t="shared" si="47"/>
        <v>0</v>
      </c>
      <c r="AM28" s="132">
        <f t="shared" si="47"/>
        <v>0</v>
      </c>
      <c r="AN28" s="132">
        <f t="shared" si="47"/>
        <v>0</v>
      </c>
      <c r="AO28" s="133">
        <f t="shared" si="47"/>
        <v>0</v>
      </c>
      <c r="AP28" s="132">
        <f t="shared" si="47"/>
        <v>0</v>
      </c>
      <c r="AQ28" s="132">
        <f t="shared" si="47"/>
        <v>0</v>
      </c>
      <c r="AR28" s="132">
        <f t="shared" si="47"/>
        <v>0</v>
      </c>
      <c r="AS28" s="132">
        <f t="shared" si="47"/>
        <v>0</v>
      </c>
      <c r="AT28" s="132">
        <f>BG28+69495613</f>
        <v>340257169</v>
      </c>
      <c r="AU28" s="272">
        <f t="shared" si="38"/>
        <v>340257169</v>
      </c>
      <c r="AV28" s="177">
        <v>0</v>
      </c>
      <c r="AW28" s="132">
        <v>0</v>
      </c>
      <c r="AX28" s="132">
        <v>0</v>
      </c>
      <c r="AY28" s="132">
        <v>0</v>
      </c>
      <c r="AZ28" s="132">
        <v>0</v>
      </c>
      <c r="BA28" s="133">
        <v>0</v>
      </c>
      <c r="BB28" s="133">
        <v>0</v>
      </c>
      <c r="BC28" s="132">
        <v>0</v>
      </c>
      <c r="BD28" s="132">
        <v>0</v>
      </c>
      <c r="BE28" s="132">
        <v>0</v>
      </c>
      <c r="BF28" s="132">
        <v>0</v>
      </c>
      <c r="BG28" s="132">
        <v>270761556</v>
      </c>
      <c r="BH28" s="272">
        <f>SUM(AV28:BG28)</f>
        <v>270761556</v>
      </c>
      <c r="BI28" s="294">
        <f>U28-AH28</f>
        <v>60847193</v>
      </c>
      <c r="BJ28" s="295">
        <f>AH28-AU28</f>
        <v>110420158</v>
      </c>
      <c r="BK28" s="296">
        <f>AU28-BH28</f>
        <v>69495613</v>
      </c>
    </row>
    <row r="29" spans="1:63" ht="21" customHeight="1">
      <c r="A29" s="136" t="s">
        <v>133</v>
      </c>
      <c r="B29" s="130" t="s">
        <v>136</v>
      </c>
      <c r="C29" s="130" t="s">
        <v>158</v>
      </c>
      <c r="D29" s="130" t="s">
        <v>144</v>
      </c>
      <c r="E29" s="130" t="s">
        <v>134</v>
      </c>
      <c r="F29" s="130" t="s">
        <v>140</v>
      </c>
      <c r="G29" s="131" t="s">
        <v>161</v>
      </c>
      <c r="H29" s="177">
        <f t="shared" si="44"/>
        <v>74803840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272">
        <f>SUM(H29:M29)</f>
        <v>74803840</v>
      </c>
      <c r="O29" s="177">
        <v>409803840</v>
      </c>
      <c r="P29" s="132">
        <f>-210000000-125000000</f>
        <v>-335000000</v>
      </c>
      <c r="Q29" s="132">
        <v>0</v>
      </c>
      <c r="R29" s="132">
        <v>0</v>
      </c>
      <c r="S29" s="132">
        <v>0</v>
      </c>
      <c r="T29" s="132">
        <v>0</v>
      </c>
      <c r="U29" s="272">
        <f>SUM(O29:T29)</f>
        <v>74803840</v>
      </c>
      <c r="V29" s="177">
        <v>16543835</v>
      </c>
      <c r="W29" s="132">
        <v>5657104</v>
      </c>
      <c r="X29" s="132">
        <v>12161031</v>
      </c>
      <c r="Y29" s="132">
        <v>101062</v>
      </c>
      <c r="Z29" s="132">
        <v>3012428</v>
      </c>
      <c r="AA29" s="132">
        <v>1113286</v>
      </c>
      <c r="AB29" s="133">
        <v>51602</v>
      </c>
      <c r="AC29" s="132">
        <v>25742</v>
      </c>
      <c r="AD29" s="132">
        <v>293156</v>
      </c>
      <c r="AE29" s="132">
        <v>19930</v>
      </c>
      <c r="AF29" s="132">
        <v>57234</v>
      </c>
      <c r="AG29" s="132">
        <v>-3059751</v>
      </c>
      <c r="AH29" s="272">
        <f>SUM(V29:AG29)</f>
        <v>35976659</v>
      </c>
      <c r="AI29" s="177">
        <f t="shared" si="47"/>
        <v>12933035</v>
      </c>
      <c r="AJ29" s="132">
        <f t="shared" si="47"/>
        <v>5556804</v>
      </c>
      <c r="AK29" s="132">
        <f t="shared" si="47"/>
        <v>12218463</v>
      </c>
      <c r="AL29" s="132">
        <f t="shared" si="47"/>
        <v>101062</v>
      </c>
      <c r="AM29" s="132">
        <f t="shared" si="47"/>
        <v>3003237</v>
      </c>
      <c r="AN29" s="132">
        <f t="shared" si="47"/>
        <v>1258810</v>
      </c>
      <c r="AO29" s="133">
        <f t="shared" si="47"/>
        <v>51602</v>
      </c>
      <c r="AP29" s="132">
        <f t="shared" si="47"/>
        <v>49368</v>
      </c>
      <c r="AQ29" s="132">
        <f t="shared" si="47"/>
        <v>325874</v>
      </c>
      <c r="AR29" s="132">
        <f t="shared" si="47"/>
        <v>19930</v>
      </c>
      <c r="AS29" s="132">
        <f t="shared" si="47"/>
        <v>105177</v>
      </c>
      <c r="AT29" s="132">
        <f t="shared" si="47"/>
        <v>353297</v>
      </c>
      <c r="AU29" s="272">
        <f t="shared" si="38"/>
        <v>35976659</v>
      </c>
      <c r="AV29" s="177">
        <v>12933035</v>
      </c>
      <c r="AW29" s="132">
        <v>5556804</v>
      </c>
      <c r="AX29" s="132">
        <v>12218463</v>
      </c>
      <c r="AY29" s="132">
        <v>101062</v>
      </c>
      <c r="AZ29" s="132">
        <v>3003237</v>
      </c>
      <c r="BA29" s="132">
        <v>1258810</v>
      </c>
      <c r="BB29" s="133">
        <v>51602</v>
      </c>
      <c r="BC29" s="132">
        <v>49368</v>
      </c>
      <c r="BD29" s="132">
        <v>325874</v>
      </c>
      <c r="BE29" s="132">
        <v>19930</v>
      </c>
      <c r="BF29" s="132">
        <v>105177</v>
      </c>
      <c r="BG29" s="132">
        <v>353297</v>
      </c>
      <c r="BH29" s="272">
        <f>SUM(AV29:BG29)</f>
        <v>35976659</v>
      </c>
      <c r="BI29" s="294">
        <f>U29-AH29</f>
        <v>38827181</v>
      </c>
      <c r="BJ29" s="295">
        <f>AH29-AU29</f>
        <v>0</v>
      </c>
      <c r="BK29" s="296">
        <f>AU29-BH29</f>
        <v>0</v>
      </c>
    </row>
    <row r="30" spans="1:63" ht="21" customHeight="1">
      <c r="A30" s="136" t="s">
        <v>133</v>
      </c>
      <c r="B30" s="130" t="s">
        <v>136</v>
      </c>
      <c r="C30" s="130" t="s">
        <v>158</v>
      </c>
      <c r="D30" s="130" t="s">
        <v>144</v>
      </c>
      <c r="E30" s="130" t="s">
        <v>134</v>
      </c>
      <c r="F30" s="130" t="s">
        <v>195</v>
      </c>
      <c r="G30" s="131" t="s">
        <v>161</v>
      </c>
      <c r="H30" s="177">
        <f t="shared" si="44"/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151782828</v>
      </c>
      <c r="N30" s="272">
        <f t="shared" si="1"/>
        <v>151782828</v>
      </c>
      <c r="O30" s="177"/>
      <c r="P30" s="132"/>
      <c r="Q30" s="132">
        <v>0</v>
      </c>
      <c r="R30" s="132">
        <v>0</v>
      </c>
      <c r="S30" s="132">
        <v>0</v>
      </c>
      <c r="T30" s="132">
        <v>151782828</v>
      </c>
      <c r="U30" s="272">
        <f t="shared" si="34"/>
        <v>151782828</v>
      </c>
      <c r="V30" s="177"/>
      <c r="W30" s="132"/>
      <c r="X30" s="132"/>
      <c r="Y30" s="132"/>
      <c r="Z30" s="132"/>
      <c r="AA30" s="132"/>
      <c r="AB30" s="133"/>
      <c r="AC30" s="132"/>
      <c r="AD30" s="132"/>
      <c r="AE30" s="132"/>
      <c r="AF30" s="132"/>
      <c r="AG30" s="132">
        <v>0</v>
      </c>
      <c r="AH30" s="272">
        <f t="shared" si="36"/>
        <v>0</v>
      </c>
      <c r="AI30" s="177">
        <f t="shared" si="45"/>
        <v>0</v>
      </c>
      <c r="AJ30" s="132">
        <f t="shared" si="45"/>
        <v>0</v>
      </c>
      <c r="AK30" s="132">
        <f t="shared" si="45"/>
        <v>0</v>
      </c>
      <c r="AL30" s="132">
        <f t="shared" si="45"/>
        <v>0</v>
      </c>
      <c r="AM30" s="132">
        <f t="shared" si="45"/>
        <v>0</v>
      </c>
      <c r="AN30" s="132">
        <f t="shared" si="45"/>
        <v>0</v>
      </c>
      <c r="AO30" s="133">
        <f t="shared" si="45"/>
        <v>0</v>
      </c>
      <c r="AP30" s="132">
        <f t="shared" si="45"/>
        <v>0</v>
      </c>
      <c r="AQ30" s="132">
        <f t="shared" si="45"/>
        <v>0</v>
      </c>
      <c r="AR30" s="132">
        <f t="shared" si="45"/>
        <v>0</v>
      </c>
      <c r="AS30" s="132">
        <f t="shared" si="45"/>
        <v>0</v>
      </c>
      <c r="AT30" s="132">
        <f t="shared" si="45"/>
        <v>0</v>
      </c>
      <c r="AU30" s="272">
        <f t="shared" si="38"/>
        <v>0</v>
      </c>
      <c r="AV30" s="177">
        <v>0</v>
      </c>
      <c r="AW30" s="132">
        <v>0</v>
      </c>
      <c r="AX30" s="132">
        <v>0</v>
      </c>
      <c r="AY30" s="132">
        <v>0</v>
      </c>
      <c r="AZ30" s="132">
        <v>0</v>
      </c>
      <c r="BA30" s="132">
        <v>0</v>
      </c>
      <c r="BB30" s="133">
        <v>0</v>
      </c>
      <c r="BC30" s="132">
        <v>0</v>
      </c>
      <c r="BD30" s="132">
        <v>0</v>
      </c>
      <c r="BE30" s="132">
        <v>0</v>
      </c>
      <c r="BF30" s="132">
        <v>0</v>
      </c>
      <c r="BG30" s="132">
        <v>0</v>
      </c>
      <c r="BH30" s="272">
        <f t="shared" si="40"/>
        <v>0</v>
      </c>
      <c r="BI30" s="294">
        <f t="shared" si="41"/>
        <v>151782828</v>
      </c>
      <c r="BJ30" s="295">
        <f t="shared" si="42"/>
        <v>0</v>
      </c>
      <c r="BK30" s="296">
        <f t="shared" si="43"/>
        <v>0</v>
      </c>
    </row>
    <row r="31" spans="1:63" s="102" customFormat="1" ht="21" customHeight="1">
      <c r="A31" s="186" t="s">
        <v>133</v>
      </c>
      <c r="B31" s="187" t="s">
        <v>136</v>
      </c>
      <c r="C31" s="188" t="s">
        <v>144</v>
      </c>
      <c r="D31" s="187" t="s">
        <v>134</v>
      </c>
      <c r="E31" s="187" t="s">
        <v>134</v>
      </c>
      <c r="F31" s="187"/>
      <c r="G31" s="189" t="s">
        <v>162</v>
      </c>
      <c r="H31" s="190">
        <f>SUM(H32:H36)</f>
        <v>340134600</v>
      </c>
      <c r="I31" s="191">
        <f>SUM(I32:I36)</f>
        <v>0</v>
      </c>
      <c r="J31" s="191">
        <f>SUM(J32:J36)</f>
        <v>0</v>
      </c>
      <c r="K31" s="191">
        <f>SUM(K32:K36)</f>
        <v>0</v>
      </c>
      <c r="L31" s="191">
        <f>SUM(L32:L36)</f>
        <v>0</v>
      </c>
      <c r="M31" s="191">
        <f aca="true" t="shared" si="48" ref="M31:T31">SUM(M32:M36)</f>
        <v>332289888</v>
      </c>
      <c r="N31" s="192">
        <f t="shared" si="1"/>
        <v>672424488</v>
      </c>
      <c r="O31" s="190">
        <f t="shared" si="48"/>
        <v>340134600</v>
      </c>
      <c r="P31" s="191">
        <f t="shared" si="48"/>
        <v>0</v>
      </c>
      <c r="Q31" s="191">
        <f t="shared" si="48"/>
        <v>0</v>
      </c>
      <c r="R31" s="191">
        <f t="shared" si="48"/>
        <v>0</v>
      </c>
      <c r="S31" s="191">
        <f t="shared" si="48"/>
        <v>0</v>
      </c>
      <c r="T31" s="191">
        <f t="shared" si="48"/>
        <v>332289888</v>
      </c>
      <c r="U31" s="192">
        <f t="shared" si="34"/>
        <v>672424488</v>
      </c>
      <c r="V31" s="190">
        <f aca="true" t="shared" si="49" ref="V31:AE31">SUM(V32:V36)</f>
        <v>0</v>
      </c>
      <c r="W31" s="191">
        <f t="shared" si="49"/>
        <v>21419421</v>
      </c>
      <c r="X31" s="191">
        <f t="shared" si="49"/>
        <v>0</v>
      </c>
      <c r="Y31" s="191">
        <f t="shared" si="49"/>
        <v>-398015</v>
      </c>
      <c r="Z31" s="191">
        <f t="shared" si="49"/>
        <v>0</v>
      </c>
      <c r="AA31" s="191">
        <f t="shared" si="49"/>
        <v>6975906</v>
      </c>
      <c r="AB31" s="193">
        <f t="shared" si="49"/>
        <v>0</v>
      </c>
      <c r="AC31" s="191">
        <f t="shared" si="49"/>
        <v>0</v>
      </c>
      <c r="AD31" s="191">
        <f t="shared" si="49"/>
        <v>7235032</v>
      </c>
      <c r="AE31" s="191">
        <f t="shared" si="49"/>
        <v>0</v>
      </c>
      <c r="AF31" s="191">
        <f>SUM(AF32:AF36)</f>
        <v>208885476</v>
      </c>
      <c r="AG31" s="191">
        <f>SUM(AG32:AG36)</f>
        <v>0</v>
      </c>
      <c r="AH31" s="192">
        <f t="shared" si="36"/>
        <v>244117820</v>
      </c>
      <c r="AI31" s="190">
        <f aca="true" t="shared" si="50" ref="AI31:AT31">SUM(AI32:AI36)</f>
        <v>0</v>
      </c>
      <c r="AJ31" s="191">
        <f t="shared" si="50"/>
        <v>21419421</v>
      </c>
      <c r="AK31" s="191">
        <f t="shared" si="50"/>
        <v>0</v>
      </c>
      <c r="AL31" s="191">
        <f t="shared" si="50"/>
        <v>-398015</v>
      </c>
      <c r="AM31" s="191">
        <f t="shared" si="50"/>
        <v>0</v>
      </c>
      <c r="AN31" s="191">
        <f t="shared" si="50"/>
        <v>6975906</v>
      </c>
      <c r="AO31" s="193">
        <f t="shared" si="50"/>
        <v>0</v>
      </c>
      <c r="AP31" s="191">
        <f t="shared" si="50"/>
        <v>0</v>
      </c>
      <c r="AQ31" s="191">
        <f t="shared" si="50"/>
        <v>7235032</v>
      </c>
      <c r="AR31" s="191">
        <f t="shared" si="50"/>
        <v>0</v>
      </c>
      <c r="AS31" s="191">
        <f t="shared" si="50"/>
        <v>208885476</v>
      </c>
      <c r="AT31" s="191">
        <f t="shared" si="50"/>
        <v>0</v>
      </c>
      <c r="AU31" s="192">
        <f aca="true" t="shared" si="51" ref="AU31:AU39">SUM(AI31:AT31)</f>
        <v>244117820</v>
      </c>
      <c r="AV31" s="190">
        <f aca="true" t="shared" si="52" ref="AV31:BG31">SUM(AV32:AV36)</f>
        <v>0</v>
      </c>
      <c r="AW31" s="191">
        <f t="shared" si="52"/>
        <v>21419421</v>
      </c>
      <c r="AX31" s="191">
        <f t="shared" si="52"/>
        <v>0</v>
      </c>
      <c r="AY31" s="191">
        <f t="shared" si="52"/>
        <v>-398015</v>
      </c>
      <c r="AZ31" s="191">
        <f t="shared" si="52"/>
        <v>0</v>
      </c>
      <c r="BA31" s="191">
        <f t="shared" si="52"/>
        <v>6975906</v>
      </c>
      <c r="BB31" s="193">
        <f t="shared" si="52"/>
        <v>0</v>
      </c>
      <c r="BC31" s="191">
        <f t="shared" si="52"/>
        <v>0</v>
      </c>
      <c r="BD31" s="191">
        <f t="shared" si="52"/>
        <v>7235032</v>
      </c>
      <c r="BE31" s="191">
        <f t="shared" si="52"/>
        <v>0</v>
      </c>
      <c r="BF31" s="191">
        <f t="shared" si="52"/>
        <v>208885476</v>
      </c>
      <c r="BG31" s="191">
        <f t="shared" si="52"/>
        <v>0</v>
      </c>
      <c r="BH31" s="192">
        <f t="shared" si="40"/>
        <v>244117820</v>
      </c>
      <c r="BI31" s="291">
        <f t="shared" si="41"/>
        <v>428306668</v>
      </c>
      <c r="BJ31" s="292">
        <f t="shared" si="42"/>
        <v>0</v>
      </c>
      <c r="BK31" s="293">
        <f t="shared" si="43"/>
        <v>0</v>
      </c>
    </row>
    <row r="32" spans="1:63" ht="21" customHeight="1">
      <c r="A32" s="136" t="s">
        <v>133</v>
      </c>
      <c r="B32" s="130" t="s">
        <v>136</v>
      </c>
      <c r="C32" s="130" t="s">
        <v>163</v>
      </c>
      <c r="D32" s="130" t="s">
        <v>137</v>
      </c>
      <c r="E32" s="130" t="s">
        <v>137</v>
      </c>
      <c r="F32" s="130" t="s">
        <v>140</v>
      </c>
      <c r="G32" s="131" t="s">
        <v>164</v>
      </c>
      <c r="H32" s="177">
        <f>U32-SUM(I32:M32)</f>
        <v>257419000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272">
        <f t="shared" si="1"/>
        <v>257419000</v>
      </c>
      <c r="O32" s="177">
        <v>257419000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272">
        <f t="shared" si="34"/>
        <v>257419000</v>
      </c>
      <c r="V32" s="177">
        <v>0</v>
      </c>
      <c r="W32" s="132">
        <v>0</v>
      </c>
      <c r="X32" s="132">
        <v>0</v>
      </c>
      <c r="Y32" s="132">
        <v>0</v>
      </c>
      <c r="Z32" s="132">
        <v>0</v>
      </c>
      <c r="AA32" s="132">
        <v>0</v>
      </c>
      <c r="AB32" s="133">
        <v>0</v>
      </c>
      <c r="AC32" s="132">
        <v>0</v>
      </c>
      <c r="AD32" s="132">
        <v>0</v>
      </c>
      <c r="AE32" s="132">
        <v>0</v>
      </c>
      <c r="AF32" s="132">
        <v>208885476</v>
      </c>
      <c r="AG32" s="132">
        <v>0</v>
      </c>
      <c r="AH32" s="272">
        <f t="shared" si="36"/>
        <v>208885476</v>
      </c>
      <c r="AI32" s="177">
        <f aca="true" t="shared" si="53" ref="AI32:AT36">AV32</f>
        <v>0</v>
      </c>
      <c r="AJ32" s="132">
        <f t="shared" si="53"/>
        <v>0</v>
      </c>
      <c r="AK32" s="132">
        <f t="shared" si="53"/>
        <v>0</v>
      </c>
      <c r="AL32" s="132">
        <f t="shared" si="53"/>
        <v>0</v>
      </c>
      <c r="AM32" s="132">
        <f t="shared" si="53"/>
        <v>0</v>
      </c>
      <c r="AN32" s="132">
        <f t="shared" si="53"/>
        <v>0</v>
      </c>
      <c r="AO32" s="133">
        <f t="shared" si="53"/>
        <v>0</v>
      </c>
      <c r="AP32" s="132">
        <f t="shared" si="53"/>
        <v>0</v>
      </c>
      <c r="AQ32" s="132">
        <f t="shared" si="53"/>
        <v>0</v>
      </c>
      <c r="AR32" s="132">
        <f t="shared" si="53"/>
        <v>0</v>
      </c>
      <c r="AS32" s="132">
        <f t="shared" si="53"/>
        <v>208885476</v>
      </c>
      <c r="AT32" s="132">
        <f t="shared" si="53"/>
        <v>0</v>
      </c>
      <c r="AU32" s="272">
        <f t="shared" si="51"/>
        <v>208885476</v>
      </c>
      <c r="AV32" s="177">
        <v>0</v>
      </c>
      <c r="AW32" s="132">
        <v>0</v>
      </c>
      <c r="AX32" s="132">
        <v>0</v>
      </c>
      <c r="AY32" s="132">
        <v>0</v>
      </c>
      <c r="AZ32" s="132">
        <v>0</v>
      </c>
      <c r="BA32" s="132">
        <v>0</v>
      </c>
      <c r="BB32" s="133">
        <v>0</v>
      </c>
      <c r="BC32" s="132">
        <v>0</v>
      </c>
      <c r="BD32" s="132">
        <v>0</v>
      </c>
      <c r="BE32" s="132">
        <v>0</v>
      </c>
      <c r="BF32" s="132">
        <v>208885476</v>
      </c>
      <c r="BG32" s="132">
        <v>0</v>
      </c>
      <c r="BH32" s="272">
        <f t="shared" si="40"/>
        <v>208885476</v>
      </c>
      <c r="BI32" s="294">
        <f t="shared" si="41"/>
        <v>48533524</v>
      </c>
      <c r="BJ32" s="295">
        <f t="shared" si="42"/>
        <v>0</v>
      </c>
      <c r="BK32" s="296">
        <f t="shared" si="43"/>
        <v>0</v>
      </c>
    </row>
    <row r="33" spans="1:63" ht="21" customHeight="1">
      <c r="A33" s="136" t="s">
        <v>133</v>
      </c>
      <c r="B33" s="130" t="s">
        <v>136</v>
      </c>
      <c r="C33" s="134" t="s">
        <v>165</v>
      </c>
      <c r="D33" s="130" t="s">
        <v>137</v>
      </c>
      <c r="E33" s="130" t="s">
        <v>134</v>
      </c>
      <c r="F33" s="130" t="s">
        <v>140</v>
      </c>
      <c r="G33" s="131" t="s">
        <v>166</v>
      </c>
      <c r="H33" s="177">
        <f>U33-SUM(I33:M33)</f>
        <v>38278600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272">
        <f t="shared" si="1"/>
        <v>38278600</v>
      </c>
      <c r="O33" s="177">
        <v>38278600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272">
        <f t="shared" si="34"/>
        <v>38278600</v>
      </c>
      <c r="V33" s="177">
        <v>0</v>
      </c>
      <c r="W33" s="132">
        <v>14616518</v>
      </c>
      <c r="X33" s="132">
        <v>0</v>
      </c>
      <c r="Y33" s="132">
        <v>-398015</v>
      </c>
      <c r="Z33" s="132">
        <v>0</v>
      </c>
      <c r="AA33" s="132">
        <v>0</v>
      </c>
      <c r="AB33" s="133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272">
        <f t="shared" si="36"/>
        <v>14218503</v>
      </c>
      <c r="AI33" s="177">
        <f t="shared" si="53"/>
        <v>0</v>
      </c>
      <c r="AJ33" s="132">
        <f t="shared" si="53"/>
        <v>14616518</v>
      </c>
      <c r="AK33" s="132">
        <f t="shared" si="53"/>
        <v>0</v>
      </c>
      <c r="AL33" s="132">
        <f t="shared" si="53"/>
        <v>-398015</v>
      </c>
      <c r="AM33" s="132">
        <f t="shared" si="53"/>
        <v>0</v>
      </c>
      <c r="AN33" s="132">
        <f t="shared" si="53"/>
        <v>0</v>
      </c>
      <c r="AO33" s="133">
        <f t="shared" si="53"/>
        <v>0</v>
      </c>
      <c r="AP33" s="132">
        <f t="shared" si="53"/>
        <v>0</v>
      </c>
      <c r="AQ33" s="132">
        <f t="shared" si="53"/>
        <v>0</v>
      </c>
      <c r="AR33" s="132">
        <f t="shared" si="53"/>
        <v>0</v>
      </c>
      <c r="AS33" s="132">
        <f t="shared" si="53"/>
        <v>0</v>
      </c>
      <c r="AT33" s="132">
        <f t="shared" si="53"/>
        <v>0</v>
      </c>
      <c r="AU33" s="272">
        <f t="shared" si="51"/>
        <v>14218503</v>
      </c>
      <c r="AV33" s="177">
        <v>0</v>
      </c>
      <c r="AW33" s="132">
        <v>14616518</v>
      </c>
      <c r="AX33" s="132">
        <v>0</v>
      </c>
      <c r="AY33" s="132">
        <v>-398015</v>
      </c>
      <c r="AZ33" s="132">
        <v>0</v>
      </c>
      <c r="BA33" s="132">
        <v>0</v>
      </c>
      <c r="BB33" s="133">
        <v>0</v>
      </c>
      <c r="BC33" s="132">
        <v>0</v>
      </c>
      <c r="BD33" s="132">
        <v>0</v>
      </c>
      <c r="BE33" s="132">
        <v>0</v>
      </c>
      <c r="BF33" s="132">
        <v>0</v>
      </c>
      <c r="BG33" s="132">
        <v>0</v>
      </c>
      <c r="BH33" s="272">
        <f t="shared" si="40"/>
        <v>14218503</v>
      </c>
      <c r="BI33" s="294">
        <f t="shared" si="41"/>
        <v>24060097</v>
      </c>
      <c r="BJ33" s="295">
        <f t="shared" si="42"/>
        <v>0</v>
      </c>
      <c r="BK33" s="296">
        <f t="shared" si="43"/>
        <v>0</v>
      </c>
    </row>
    <row r="34" spans="1:63" ht="21" customHeight="1">
      <c r="A34" s="136" t="s">
        <v>133</v>
      </c>
      <c r="B34" s="130" t="s">
        <v>136</v>
      </c>
      <c r="C34" s="130" t="s">
        <v>167</v>
      </c>
      <c r="D34" s="130" t="s">
        <v>137</v>
      </c>
      <c r="E34" s="130" t="s">
        <v>134</v>
      </c>
      <c r="F34" s="130" t="s">
        <v>140</v>
      </c>
      <c r="G34" s="131" t="s">
        <v>168</v>
      </c>
      <c r="H34" s="177">
        <f>U34-SUM(I34:M34)</f>
        <v>8242000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272">
        <f t="shared" si="1"/>
        <v>8242000</v>
      </c>
      <c r="O34" s="177">
        <v>8242000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272">
        <f t="shared" si="34"/>
        <v>8242000</v>
      </c>
      <c r="V34" s="177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6975906</v>
      </c>
      <c r="AB34" s="133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272">
        <f t="shared" si="36"/>
        <v>6975906</v>
      </c>
      <c r="AI34" s="177">
        <f t="shared" si="53"/>
        <v>0</v>
      </c>
      <c r="AJ34" s="132">
        <f t="shared" si="53"/>
        <v>0</v>
      </c>
      <c r="AK34" s="132">
        <f t="shared" si="53"/>
        <v>0</v>
      </c>
      <c r="AL34" s="132">
        <f t="shared" si="53"/>
        <v>0</v>
      </c>
      <c r="AM34" s="132">
        <f t="shared" si="53"/>
        <v>0</v>
      </c>
      <c r="AN34" s="132">
        <f t="shared" si="53"/>
        <v>6975906</v>
      </c>
      <c r="AO34" s="133">
        <f t="shared" si="53"/>
        <v>0</v>
      </c>
      <c r="AP34" s="132">
        <f t="shared" si="53"/>
        <v>0</v>
      </c>
      <c r="AQ34" s="132">
        <f t="shared" si="53"/>
        <v>0</v>
      </c>
      <c r="AR34" s="132">
        <f t="shared" si="53"/>
        <v>0</v>
      </c>
      <c r="AS34" s="132">
        <f t="shared" si="53"/>
        <v>0</v>
      </c>
      <c r="AT34" s="132">
        <f t="shared" si="53"/>
        <v>0</v>
      </c>
      <c r="AU34" s="272">
        <f t="shared" si="51"/>
        <v>6975906</v>
      </c>
      <c r="AV34" s="177">
        <v>0</v>
      </c>
      <c r="AW34" s="132">
        <v>0</v>
      </c>
      <c r="AX34" s="132">
        <v>0</v>
      </c>
      <c r="AY34" s="132">
        <v>0</v>
      </c>
      <c r="AZ34" s="132">
        <v>0</v>
      </c>
      <c r="BA34" s="132">
        <v>6975906</v>
      </c>
      <c r="BB34" s="133">
        <v>0</v>
      </c>
      <c r="BC34" s="132">
        <v>0</v>
      </c>
      <c r="BD34" s="132">
        <v>0</v>
      </c>
      <c r="BE34" s="132">
        <v>0</v>
      </c>
      <c r="BF34" s="132">
        <v>0</v>
      </c>
      <c r="BG34" s="132">
        <v>0</v>
      </c>
      <c r="BH34" s="272">
        <f t="shared" si="40"/>
        <v>6975906</v>
      </c>
      <c r="BI34" s="294">
        <f t="shared" si="41"/>
        <v>1266094</v>
      </c>
      <c r="BJ34" s="295">
        <f t="shared" si="42"/>
        <v>0</v>
      </c>
      <c r="BK34" s="296">
        <f t="shared" si="43"/>
        <v>0</v>
      </c>
    </row>
    <row r="35" spans="1:63" ht="21" customHeight="1">
      <c r="A35" s="136" t="s">
        <v>133</v>
      </c>
      <c r="B35" s="130" t="s">
        <v>136</v>
      </c>
      <c r="C35" s="130" t="s">
        <v>167</v>
      </c>
      <c r="D35" s="130" t="s">
        <v>137</v>
      </c>
      <c r="E35" s="130" t="s">
        <v>134</v>
      </c>
      <c r="F35" s="130" t="s">
        <v>195</v>
      </c>
      <c r="G35" s="131" t="s">
        <v>168</v>
      </c>
      <c r="H35" s="177">
        <f>U35-SUM(I35:M35)</f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332289888</v>
      </c>
      <c r="N35" s="272">
        <f>SUM(H35:M35)</f>
        <v>332289888</v>
      </c>
      <c r="O35" s="177"/>
      <c r="P35" s="132">
        <v>0</v>
      </c>
      <c r="Q35" s="132">
        <v>0</v>
      </c>
      <c r="R35" s="132">
        <v>0</v>
      </c>
      <c r="S35" s="132">
        <v>0</v>
      </c>
      <c r="T35" s="132">
        <v>332289888</v>
      </c>
      <c r="U35" s="272">
        <f>SUM(O35:T35)</f>
        <v>332289888</v>
      </c>
      <c r="V35" s="177">
        <v>0</v>
      </c>
      <c r="W35" s="132">
        <v>0</v>
      </c>
      <c r="X35" s="132">
        <v>0</v>
      </c>
      <c r="Y35" s="132">
        <v>0</v>
      </c>
      <c r="Z35" s="132">
        <v>0</v>
      </c>
      <c r="AA35" s="132"/>
      <c r="AB35" s="133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272">
        <f>SUM(V35:AG35)</f>
        <v>0</v>
      </c>
      <c r="AI35" s="177">
        <f>AV35</f>
        <v>0</v>
      </c>
      <c r="AJ35" s="132">
        <f>AW35</f>
        <v>0</v>
      </c>
      <c r="AK35" s="132">
        <f>AX35</f>
        <v>0</v>
      </c>
      <c r="AL35" s="132">
        <f>AY35</f>
        <v>0</v>
      </c>
      <c r="AM35" s="132">
        <f>AZ35</f>
        <v>0</v>
      </c>
      <c r="AN35" s="132">
        <f t="shared" si="53"/>
        <v>0</v>
      </c>
      <c r="AO35" s="133">
        <f aca="true" t="shared" si="54" ref="AO35:AT35">BB35</f>
        <v>0</v>
      </c>
      <c r="AP35" s="132">
        <f t="shared" si="54"/>
        <v>0</v>
      </c>
      <c r="AQ35" s="132">
        <f t="shared" si="54"/>
        <v>0</v>
      </c>
      <c r="AR35" s="132">
        <f t="shared" si="54"/>
        <v>0</v>
      </c>
      <c r="AS35" s="132">
        <f t="shared" si="54"/>
        <v>0</v>
      </c>
      <c r="AT35" s="132">
        <f t="shared" si="54"/>
        <v>0</v>
      </c>
      <c r="AU35" s="272">
        <f>SUM(AI35:AT35)</f>
        <v>0</v>
      </c>
      <c r="AV35" s="177">
        <v>0</v>
      </c>
      <c r="AW35" s="132">
        <v>0</v>
      </c>
      <c r="AX35" s="132">
        <v>0</v>
      </c>
      <c r="AY35" s="132">
        <v>0</v>
      </c>
      <c r="AZ35" s="132">
        <v>0</v>
      </c>
      <c r="BA35" s="132"/>
      <c r="BB35" s="133">
        <v>0</v>
      </c>
      <c r="BC35" s="132">
        <v>0</v>
      </c>
      <c r="BD35" s="132">
        <v>0</v>
      </c>
      <c r="BE35" s="132">
        <v>0</v>
      </c>
      <c r="BF35" s="132">
        <v>0</v>
      </c>
      <c r="BG35" s="132">
        <v>0</v>
      </c>
      <c r="BH35" s="272">
        <f>SUM(AV35:BG35)</f>
        <v>0</v>
      </c>
      <c r="BI35" s="294">
        <f>U35-AH35</f>
        <v>332289888</v>
      </c>
      <c r="BJ35" s="295">
        <f>AH35-AU35</f>
        <v>0</v>
      </c>
      <c r="BK35" s="296">
        <f>AU35-BH35</f>
        <v>0</v>
      </c>
    </row>
    <row r="36" spans="1:63" ht="21" customHeight="1">
      <c r="A36" s="136" t="s">
        <v>133</v>
      </c>
      <c r="B36" s="130" t="s">
        <v>136</v>
      </c>
      <c r="C36" s="134" t="s">
        <v>167</v>
      </c>
      <c r="D36" s="130" t="s">
        <v>144</v>
      </c>
      <c r="E36" s="130" t="s">
        <v>137</v>
      </c>
      <c r="F36" s="130" t="s">
        <v>140</v>
      </c>
      <c r="G36" s="135" t="s">
        <v>169</v>
      </c>
      <c r="H36" s="177">
        <f>U36-SUM(I36:M36)</f>
        <v>36195000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272">
        <f t="shared" si="1"/>
        <v>36195000</v>
      </c>
      <c r="O36" s="177">
        <v>36195000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272">
        <f t="shared" si="34"/>
        <v>36195000</v>
      </c>
      <c r="V36" s="177">
        <v>0</v>
      </c>
      <c r="W36" s="132">
        <v>6802903</v>
      </c>
      <c r="X36" s="132">
        <v>0</v>
      </c>
      <c r="Y36" s="132">
        <v>0</v>
      </c>
      <c r="Z36" s="132">
        <v>0</v>
      </c>
      <c r="AA36" s="132">
        <v>0</v>
      </c>
      <c r="AB36" s="133">
        <v>0</v>
      </c>
      <c r="AC36" s="132">
        <v>0</v>
      </c>
      <c r="AD36" s="132">
        <v>7235032</v>
      </c>
      <c r="AE36" s="132">
        <v>0</v>
      </c>
      <c r="AF36" s="132">
        <v>0</v>
      </c>
      <c r="AG36" s="132">
        <v>0</v>
      </c>
      <c r="AH36" s="272">
        <f t="shared" si="36"/>
        <v>14037935</v>
      </c>
      <c r="AI36" s="177">
        <f t="shared" si="53"/>
        <v>0</v>
      </c>
      <c r="AJ36" s="132">
        <f t="shared" si="53"/>
        <v>6802903</v>
      </c>
      <c r="AK36" s="132">
        <f t="shared" si="53"/>
        <v>0</v>
      </c>
      <c r="AL36" s="132">
        <f t="shared" si="53"/>
        <v>0</v>
      </c>
      <c r="AM36" s="132">
        <f t="shared" si="53"/>
        <v>0</v>
      </c>
      <c r="AN36" s="132">
        <f t="shared" si="53"/>
        <v>0</v>
      </c>
      <c r="AO36" s="133">
        <f t="shared" si="53"/>
        <v>0</v>
      </c>
      <c r="AP36" s="132">
        <f t="shared" si="53"/>
        <v>0</v>
      </c>
      <c r="AQ36" s="132">
        <f t="shared" si="53"/>
        <v>7235032</v>
      </c>
      <c r="AR36" s="132">
        <f t="shared" si="53"/>
        <v>0</v>
      </c>
      <c r="AS36" s="132">
        <f t="shared" si="53"/>
        <v>0</v>
      </c>
      <c r="AT36" s="132">
        <f t="shared" si="53"/>
        <v>0</v>
      </c>
      <c r="AU36" s="272">
        <f t="shared" si="51"/>
        <v>14037935</v>
      </c>
      <c r="AV36" s="177">
        <v>0</v>
      </c>
      <c r="AW36" s="132">
        <v>6802903</v>
      </c>
      <c r="AX36" s="132">
        <v>0</v>
      </c>
      <c r="AY36" s="132">
        <v>0</v>
      </c>
      <c r="AZ36" s="132">
        <v>0</v>
      </c>
      <c r="BA36" s="132">
        <v>0</v>
      </c>
      <c r="BB36" s="133">
        <v>0</v>
      </c>
      <c r="BC36" s="132">
        <v>0</v>
      </c>
      <c r="BD36" s="132">
        <v>7235032</v>
      </c>
      <c r="BE36" s="132">
        <v>0</v>
      </c>
      <c r="BF36" s="132">
        <v>0</v>
      </c>
      <c r="BG36" s="132">
        <v>0</v>
      </c>
      <c r="BH36" s="272">
        <f t="shared" si="40"/>
        <v>14037935</v>
      </c>
      <c r="BI36" s="294">
        <f t="shared" si="41"/>
        <v>22157065</v>
      </c>
      <c r="BJ36" s="295">
        <f t="shared" si="42"/>
        <v>0</v>
      </c>
      <c r="BK36" s="296">
        <f t="shared" si="43"/>
        <v>0</v>
      </c>
    </row>
    <row r="37" spans="1:63" s="102" customFormat="1" ht="21" customHeight="1">
      <c r="A37" s="186" t="s">
        <v>170</v>
      </c>
      <c r="B37" s="187" t="s">
        <v>136</v>
      </c>
      <c r="C37" s="188" t="s">
        <v>171</v>
      </c>
      <c r="D37" s="187" t="s">
        <v>134</v>
      </c>
      <c r="E37" s="187" t="s">
        <v>134</v>
      </c>
      <c r="F37" s="187"/>
      <c r="G37" s="189" t="s">
        <v>172</v>
      </c>
      <c r="H37" s="190">
        <f>SUM(H38:H39)</f>
        <v>0</v>
      </c>
      <c r="I37" s="191">
        <f>SUM(I38:I39)</f>
        <v>0</v>
      </c>
      <c r="J37" s="191">
        <f>SUM(J38:J39)</f>
        <v>0</v>
      </c>
      <c r="K37" s="191">
        <f>SUM(K38:K39)</f>
        <v>0</v>
      </c>
      <c r="L37" s="191">
        <f>SUM(L38:L39)</f>
        <v>0</v>
      </c>
      <c r="M37" s="191">
        <f aca="true" t="shared" si="55" ref="M37:T37">SUM(M38:M39)</f>
        <v>0</v>
      </c>
      <c r="N37" s="192">
        <f t="shared" si="55"/>
        <v>0</v>
      </c>
      <c r="O37" s="190">
        <f t="shared" si="55"/>
        <v>0</v>
      </c>
      <c r="P37" s="191">
        <f t="shared" si="55"/>
        <v>0</v>
      </c>
      <c r="Q37" s="191">
        <f t="shared" si="55"/>
        <v>0</v>
      </c>
      <c r="R37" s="191">
        <f t="shared" si="55"/>
        <v>0</v>
      </c>
      <c r="S37" s="191">
        <f t="shared" si="55"/>
        <v>0</v>
      </c>
      <c r="T37" s="191">
        <f t="shared" si="55"/>
        <v>0</v>
      </c>
      <c r="U37" s="192">
        <f aca="true" t="shared" si="56" ref="U37:AE37">SUM(U38:U39)</f>
        <v>0</v>
      </c>
      <c r="V37" s="190">
        <f t="shared" si="56"/>
        <v>0</v>
      </c>
      <c r="W37" s="191">
        <f t="shared" si="56"/>
        <v>0</v>
      </c>
      <c r="X37" s="191">
        <f t="shared" si="56"/>
        <v>0</v>
      </c>
      <c r="Y37" s="191">
        <f t="shared" si="56"/>
        <v>0</v>
      </c>
      <c r="Z37" s="191">
        <f t="shared" si="56"/>
        <v>0</v>
      </c>
      <c r="AA37" s="191">
        <f t="shared" si="56"/>
        <v>0</v>
      </c>
      <c r="AB37" s="193">
        <f t="shared" si="56"/>
        <v>0</v>
      </c>
      <c r="AC37" s="191">
        <f t="shared" si="56"/>
        <v>0</v>
      </c>
      <c r="AD37" s="191">
        <f t="shared" si="56"/>
        <v>0</v>
      </c>
      <c r="AE37" s="191">
        <f t="shared" si="56"/>
        <v>0</v>
      </c>
      <c r="AF37" s="191">
        <f>SUM(AF38:AF39)</f>
        <v>0</v>
      </c>
      <c r="AG37" s="191">
        <f>SUM(AG38:AG39)</f>
        <v>0</v>
      </c>
      <c r="AH37" s="192">
        <f>SUM(V37:AG37)</f>
        <v>0</v>
      </c>
      <c r="AI37" s="190">
        <f aca="true" t="shared" si="57" ref="AI37:AT37">SUM(AI38:AI39)</f>
        <v>0</v>
      </c>
      <c r="AJ37" s="191">
        <f t="shared" si="57"/>
        <v>0</v>
      </c>
      <c r="AK37" s="191">
        <f t="shared" si="57"/>
        <v>0</v>
      </c>
      <c r="AL37" s="191">
        <f t="shared" si="57"/>
        <v>0</v>
      </c>
      <c r="AM37" s="191">
        <f t="shared" si="57"/>
        <v>0</v>
      </c>
      <c r="AN37" s="191">
        <f t="shared" si="57"/>
        <v>0</v>
      </c>
      <c r="AO37" s="193">
        <f t="shared" si="57"/>
        <v>0</v>
      </c>
      <c r="AP37" s="191">
        <f t="shared" si="57"/>
        <v>0</v>
      </c>
      <c r="AQ37" s="191">
        <f t="shared" si="57"/>
        <v>0</v>
      </c>
      <c r="AR37" s="191">
        <f t="shared" si="57"/>
        <v>0</v>
      </c>
      <c r="AS37" s="191">
        <f t="shared" si="57"/>
        <v>0</v>
      </c>
      <c r="AT37" s="191">
        <f t="shared" si="57"/>
        <v>0</v>
      </c>
      <c r="AU37" s="192">
        <f t="shared" si="51"/>
        <v>0</v>
      </c>
      <c r="AV37" s="190">
        <f aca="true" t="shared" si="58" ref="AV37:BG37">SUM(AV38:AV39)</f>
        <v>0</v>
      </c>
      <c r="AW37" s="191">
        <f t="shared" si="58"/>
        <v>0</v>
      </c>
      <c r="AX37" s="191">
        <f t="shared" si="58"/>
        <v>0</v>
      </c>
      <c r="AY37" s="191">
        <f t="shared" si="58"/>
        <v>0</v>
      </c>
      <c r="AZ37" s="191">
        <f t="shared" si="58"/>
        <v>0</v>
      </c>
      <c r="BA37" s="191">
        <f t="shared" si="58"/>
        <v>0</v>
      </c>
      <c r="BB37" s="193">
        <f t="shared" si="58"/>
        <v>0</v>
      </c>
      <c r="BC37" s="191">
        <f t="shared" si="58"/>
        <v>0</v>
      </c>
      <c r="BD37" s="191">
        <f t="shared" si="58"/>
        <v>0</v>
      </c>
      <c r="BE37" s="191">
        <f t="shared" si="58"/>
        <v>0</v>
      </c>
      <c r="BF37" s="191">
        <f t="shared" si="58"/>
        <v>0</v>
      </c>
      <c r="BG37" s="191">
        <f t="shared" si="58"/>
        <v>0</v>
      </c>
      <c r="BH37" s="192">
        <f>SUM(AV37:BG37)</f>
        <v>0</v>
      </c>
      <c r="BI37" s="291">
        <f t="shared" si="41"/>
        <v>0</v>
      </c>
      <c r="BJ37" s="292">
        <f t="shared" si="42"/>
        <v>0</v>
      </c>
      <c r="BK37" s="293">
        <f t="shared" si="43"/>
        <v>0</v>
      </c>
    </row>
    <row r="38" spans="1:63" ht="21" customHeight="1">
      <c r="A38" s="136" t="s">
        <v>170</v>
      </c>
      <c r="B38" s="130" t="s">
        <v>136</v>
      </c>
      <c r="C38" s="130" t="s">
        <v>173</v>
      </c>
      <c r="D38" s="130" t="s">
        <v>148</v>
      </c>
      <c r="E38" s="130" t="s">
        <v>134</v>
      </c>
      <c r="F38" s="130" t="s">
        <v>140</v>
      </c>
      <c r="G38" s="135" t="s">
        <v>174</v>
      </c>
      <c r="H38" s="177">
        <f>U38-SUM(I38:M38)</f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272">
        <f>SUM(H38:M38)</f>
        <v>0</v>
      </c>
      <c r="O38" s="177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272">
        <f>SUM(O38:T38)</f>
        <v>0</v>
      </c>
      <c r="V38" s="177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3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272">
        <f>SUM(V38:AG38)</f>
        <v>0</v>
      </c>
      <c r="AI38" s="177">
        <f aca="true" t="shared" si="59" ref="AI38:AT39">AV38</f>
        <v>0</v>
      </c>
      <c r="AJ38" s="132">
        <f t="shared" si="59"/>
        <v>0</v>
      </c>
      <c r="AK38" s="132">
        <f t="shared" si="59"/>
        <v>0</v>
      </c>
      <c r="AL38" s="132">
        <f t="shared" si="59"/>
        <v>0</v>
      </c>
      <c r="AM38" s="132">
        <f t="shared" si="59"/>
        <v>0</v>
      </c>
      <c r="AN38" s="132">
        <f t="shared" si="59"/>
        <v>0</v>
      </c>
      <c r="AO38" s="133">
        <f t="shared" si="59"/>
        <v>0</v>
      </c>
      <c r="AP38" s="132">
        <f t="shared" si="59"/>
        <v>0</v>
      </c>
      <c r="AQ38" s="132">
        <f t="shared" si="59"/>
        <v>0</v>
      </c>
      <c r="AR38" s="132">
        <f t="shared" si="59"/>
        <v>0</v>
      </c>
      <c r="AS38" s="132">
        <f t="shared" si="59"/>
        <v>0</v>
      </c>
      <c r="AT38" s="132">
        <f t="shared" si="59"/>
        <v>0</v>
      </c>
      <c r="AU38" s="272">
        <f t="shared" si="51"/>
        <v>0</v>
      </c>
      <c r="AV38" s="177">
        <v>0</v>
      </c>
      <c r="AW38" s="132">
        <v>0</v>
      </c>
      <c r="AX38" s="132">
        <v>0</v>
      </c>
      <c r="AY38" s="132">
        <v>0</v>
      </c>
      <c r="AZ38" s="132">
        <v>0</v>
      </c>
      <c r="BA38" s="132">
        <v>0</v>
      </c>
      <c r="BB38" s="133">
        <v>0</v>
      </c>
      <c r="BC38" s="132">
        <v>0</v>
      </c>
      <c r="BD38" s="132">
        <v>0</v>
      </c>
      <c r="BE38" s="132">
        <v>0</v>
      </c>
      <c r="BF38" s="132">
        <v>0</v>
      </c>
      <c r="BG38" s="132">
        <v>0</v>
      </c>
      <c r="BH38" s="272">
        <f>SUM(AV38:BG38)</f>
        <v>0</v>
      </c>
      <c r="BI38" s="294">
        <f t="shared" si="41"/>
        <v>0</v>
      </c>
      <c r="BJ38" s="295">
        <f t="shared" si="42"/>
        <v>0</v>
      </c>
      <c r="BK38" s="296">
        <f t="shared" si="43"/>
        <v>0</v>
      </c>
    </row>
    <row r="39" spans="1:63" ht="21" customHeight="1" thickBot="1">
      <c r="A39" s="137" t="s">
        <v>170</v>
      </c>
      <c r="B39" s="138" t="s">
        <v>136</v>
      </c>
      <c r="C39" s="139" t="s">
        <v>175</v>
      </c>
      <c r="D39" s="138" t="s">
        <v>148</v>
      </c>
      <c r="E39" s="138" t="s">
        <v>134</v>
      </c>
      <c r="F39" s="138" t="s">
        <v>140</v>
      </c>
      <c r="G39" s="140" t="s">
        <v>176</v>
      </c>
      <c r="H39" s="178">
        <f>U39-SUM(I39:M39)</f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273">
        <f>SUM(H39:M39)</f>
        <v>0</v>
      </c>
      <c r="O39" s="178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273">
        <f>SUM(O39:T39)</f>
        <v>0</v>
      </c>
      <c r="V39" s="178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2">
        <v>0</v>
      </c>
      <c r="AC39" s="141">
        <v>0</v>
      </c>
      <c r="AD39" s="141">
        <v>0</v>
      </c>
      <c r="AE39" s="141">
        <v>0</v>
      </c>
      <c r="AF39" s="141">
        <v>0</v>
      </c>
      <c r="AG39" s="141">
        <v>0</v>
      </c>
      <c r="AH39" s="273">
        <f>SUM(V39:AG39)</f>
        <v>0</v>
      </c>
      <c r="AI39" s="178">
        <f t="shared" si="59"/>
        <v>0</v>
      </c>
      <c r="AJ39" s="141">
        <f t="shared" si="59"/>
        <v>0</v>
      </c>
      <c r="AK39" s="141">
        <f t="shared" si="59"/>
        <v>0</v>
      </c>
      <c r="AL39" s="141">
        <f t="shared" si="59"/>
        <v>0</v>
      </c>
      <c r="AM39" s="141">
        <f t="shared" si="59"/>
        <v>0</v>
      </c>
      <c r="AN39" s="141">
        <f t="shared" si="59"/>
        <v>0</v>
      </c>
      <c r="AO39" s="142">
        <f t="shared" si="59"/>
        <v>0</v>
      </c>
      <c r="AP39" s="141">
        <f t="shared" si="59"/>
        <v>0</v>
      </c>
      <c r="AQ39" s="141">
        <f t="shared" si="59"/>
        <v>0</v>
      </c>
      <c r="AR39" s="141">
        <f t="shared" si="59"/>
        <v>0</v>
      </c>
      <c r="AS39" s="141">
        <f t="shared" si="59"/>
        <v>0</v>
      </c>
      <c r="AT39" s="141">
        <f t="shared" si="59"/>
        <v>0</v>
      </c>
      <c r="AU39" s="273">
        <f t="shared" si="51"/>
        <v>0</v>
      </c>
      <c r="AV39" s="178">
        <v>0</v>
      </c>
      <c r="AW39" s="141">
        <v>0</v>
      </c>
      <c r="AX39" s="141">
        <v>0</v>
      </c>
      <c r="AY39" s="141">
        <v>0</v>
      </c>
      <c r="AZ39" s="141">
        <v>0</v>
      </c>
      <c r="BA39" s="141">
        <v>0</v>
      </c>
      <c r="BB39" s="142">
        <v>0</v>
      </c>
      <c r="BC39" s="141">
        <v>0</v>
      </c>
      <c r="BD39" s="141">
        <v>0</v>
      </c>
      <c r="BE39" s="141">
        <v>0</v>
      </c>
      <c r="BF39" s="141">
        <v>0</v>
      </c>
      <c r="BG39" s="141">
        <v>0</v>
      </c>
      <c r="BH39" s="273">
        <f>SUM(AV39:BG39)</f>
        <v>0</v>
      </c>
      <c r="BI39" s="297">
        <f t="shared" si="41"/>
        <v>0</v>
      </c>
      <c r="BJ39" s="298">
        <f t="shared" si="42"/>
        <v>0</v>
      </c>
      <c r="BK39" s="299">
        <f t="shared" si="43"/>
        <v>0</v>
      </c>
    </row>
    <row r="40" spans="1:63" ht="13.5" thickBot="1">
      <c r="A40" s="38"/>
      <c r="B40" s="38"/>
      <c r="C40" s="38"/>
      <c r="D40" s="38"/>
      <c r="E40" s="38"/>
      <c r="F40" s="38"/>
      <c r="G40" s="39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40"/>
      <c r="AC40" s="36"/>
      <c r="AD40" s="36"/>
      <c r="AE40" s="36"/>
      <c r="AF40" s="36"/>
      <c r="AG40" s="36"/>
      <c r="AH40" s="280"/>
      <c r="AI40" s="36"/>
      <c r="AJ40" s="36"/>
      <c r="AK40" s="36"/>
      <c r="AL40" s="36"/>
      <c r="AM40" s="36"/>
      <c r="AN40" s="36"/>
      <c r="AO40" s="40"/>
      <c r="AP40" s="36"/>
      <c r="AQ40" s="36"/>
      <c r="AR40" s="36"/>
      <c r="AS40" s="36"/>
      <c r="AT40" s="36"/>
      <c r="AU40" s="280"/>
      <c r="AV40" s="36"/>
      <c r="AW40" s="36"/>
      <c r="AX40" s="36"/>
      <c r="AY40" s="36"/>
      <c r="AZ40" s="36"/>
      <c r="BA40" s="36"/>
      <c r="BB40" s="40"/>
      <c r="BC40" s="36"/>
      <c r="BD40" s="36"/>
      <c r="BE40" s="36"/>
      <c r="BF40" s="36"/>
      <c r="BG40" s="36"/>
      <c r="BH40" s="280"/>
      <c r="BI40" s="36"/>
      <c r="BJ40" s="36"/>
      <c r="BK40" s="36"/>
    </row>
    <row r="41" spans="1:63" ht="13.5" thickBot="1">
      <c r="A41" s="179" t="s">
        <v>177</v>
      </c>
      <c r="B41" s="180"/>
      <c r="C41" s="180"/>
      <c r="D41" s="180"/>
      <c r="E41" s="180"/>
      <c r="F41" s="180"/>
      <c r="G41" s="181" t="s">
        <v>178</v>
      </c>
      <c r="H41" s="182">
        <f aca="true" t="shared" si="60" ref="H41:AM41">H45+H58</f>
        <v>99169612000</v>
      </c>
      <c r="I41" s="183">
        <f t="shared" si="60"/>
        <v>0</v>
      </c>
      <c r="J41" s="183">
        <f t="shared" si="60"/>
        <v>0</v>
      </c>
      <c r="K41" s="183">
        <f t="shared" si="60"/>
        <v>0</v>
      </c>
      <c r="L41" s="183">
        <f t="shared" si="60"/>
        <v>0</v>
      </c>
      <c r="M41" s="183">
        <f t="shared" si="60"/>
        <v>2851644923</v>
      </c>
      <c r="N41" s="184">
        <f t="shared" si="60"/>
        <v>102021256923</v>
      </c>
      <c r="O41" s="182">
        <f t="shared" si="60"/>
        <v>99169612000</v>
      </c>
      <c r="P41" s="183">
        <f t="shared" si="60"/>
        <v>0</v>
      </c>
      <c r="Q41" s="183">
        <f t="shared" si="60"/>
        <v>0</v>
      </c>
      <c r="R41" s="183">
        <f t="shared" si="60"/>
        <v>0</v>
      </c>
      <c r="S41" s="183">
        <f t="shared" si="60"/>
        <v>0</v>
      </c>
      <c r="T41" s="183">
        <f t="shared" si="60"/>
        <v>2851644923</v>
      </c>
      <c r="U41" s="184">
        <f t="shared" si="60"/>
        <v>102021256923</v>
      </c>
      <c r="V41" s="182">
        <f t="shared" si="60"/>
        <v>97739822000</v>
      </c>
      <c r="W41" s="183">
        <f t="shared" si="60"/>
        <v>67458675</v>
      </c>
      <c r="X41" s="183">
        <f t="shared" si="60"/>
        <v>284011469</v>
      </c>
      <c r="Y41" s="183">
        <f t="shared" si="60"/>
        <v>203864661</v>
      </c>
      <c r="Z41" s="183">
        <f t="shared" si="60"/>
        <v>135767202</v>
      </c>
      <c r="AA41" s="183">
        <f t="shared" si="60"/>
        <v>117406500</v>
      </c>
      <c r="AB41" s="185">
        <f t="shared" si="60"/>
        <v>93041638</v>
      </c>
      <c r="AC41" s="183">
        <f t="shared" si="60"/>
        <v>92529979</v>
      </c>
      <c r="AD41" s="183">
        <f t="shared" si="60"/>
        <v>29943542</v>
      </c>
      <c r="AE41" s="183">
        <f t="shared" si="60"/>
        <v>147055766</v>
      </c>
      <c r="AF41" s="183">
        <f t="shared" si="60"/>
        <v>12145357</v>
      </c>
      <c r="AG41" s="183">
        <f t="shared" si="60"/>
        <v>2542780014</v>
      </c>
      <c r="AH41" s="184">
        <f t="shared" si="60"/>
        <v>101465826803</v>
      </c>
      <c r="AI41" s="182">
        <f t="shared" si="60"/>
        <v>0</v>
      </c>
      <c r="AJ41" s="183">
        <f t="shared" si="60"/>
        <v>5254577860</v>
      </c>
      <c r="AK41" s="183">
        <f t="shared" si="60"/>
        <v>7795111655</v>
      </c>
      <c r="AL41" s="183">
        <f t="shared" si="60"/>
        <v>6881906304</v>
      </c>
      <c r="AM41" s="183">
        <f t="shared" si="60"/>
        <v>6278766408</v>
      </c>
      <c r="AN41" s="183">
        <f aca="true" t="shared" si="61" ref="AN41:BK41">AN45+AN58</f>
        <v>4890119683</v>
      </c>
      <c r="AO41" s="185">
        <f t="shared" si="61"/>
        <v>8985812160</v>
      </c>
      <c r="AP41" s="183">
        <f t="shared" si="61"/>
        <v>8732337083</v>
      </c>
      <c r="AQ41" s="183">
        <f t="shared" si="61"/>
        <v>11741185939</v>
      </c>
      <c r="AR41" s="183">
        <f t="shared" si="61"/>
        <v>10120651992</v>
      </c>
      <c r="AS41" s="183">
        <f t="shared" si="61"/>
        <v>4998151470</v>
      </c>
      <c r="AT41" s="183">
        <f t="shared" si="61"/>
        <v>13693665613</v>
      </c>
      <c r="AU41" s="184">
        <f t="shared" si="61"/>
        <v>89372286167</v>
      </c>
      <c r="AV41" s="182">
        <f t="shared" si="61"/>
        <v>0</v>
      </c>
      <c r="AW41" s="183">
        <f t="shared" si="61"/>
        <v>5254577860</v>
      </c>
      <c r="AX41" s="183">
        <f t="shared" si="61"/>
        <v>7795111655</v>
      </c>
      <c r="AY41" s="183">
        <f t="shared" si="61"/>
        <v>6881906304</v>
      </c>
      <c r="AZ41" s="183">
        <f t="shared" si="61"/>
        <v>6278766408</v>
      </c>
      <c r="BA41" s="183">
        <f t="shared" si="61"/>
        <v>4890119683</v>
      </c>
      <c r="BB41" s="185">
        <f t="shared" si="61"/>
        <v>8985812160</v>
      </c>
      <c r="BC41" s="183">
        <f t="shared" si="61"/>
        <v>8732337083</v>
      </c>
      <c r="BD41" s="183">
        <f t="shared" si="61"/>
        <v>11741185939</v>
      </c>
      <c r="BE41" s="183">
        <f t="shared" si="61"/>
        <v>10120651992</v>
      </c>
      <c r="BF41" s="183">
        <f t="shared" si="61"/>
        <v>4998151470</v>
      </c>
      <c r="BG41" s="183">
        <f t="shared" si="61"/>
        <v>12981761942</v>
      </c>
      <c r="BH41" s="184">
        <f t="shared" si="61"/>
        <v>88660382496</v>
      </c>
      <c r="BI41" s="182">
        <f t="shared" si="61"/>
        <v>555430120</v>
      </c>
      <c r="BJ41" s="257">
        <f t="shared" si="61"/>
        <v>12093540636</v>
      </c>
      <c r="BK41" s="184">
        <f t="shared" si="61"/>
        <v>711903671</v>
      </c>
    </row>
    <row r="42" spans="1:63" ht="13.5" thickBot="1">
      <c r="A42" s="38"/>
      <c r="B42" s="38"/>
      <c r="C42" s="38"/>
      <c r="D42" s="38"/>
      <c r="E42" s="38"/>
      <c r="F42" s="38"/>
      <c r="G42" s="39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40"/>
      <c r="AC42" s="36"/>
      <c r="AD42" s="36"/>
      <c r="AE42" s="36"/>
      <c r="AF42" s="36"/>
      <c r="AG42" s="36"/>
      <c r="AH42" s="280"/>
      <c r="AI42" s="36"/>
      <c r="AJ42" s="36"/>
      <c r="AK42" s="36"/>
      <c r="AL42" s="36"/>
      <c r="AM42" s="36"/>
      <c r="AN42" s="36"/>
      <c r="AO42" s="40"/>
      <c r="AP42" s="36"/>
      <c r="AQ42" s="36"/>
      <c r="AR42" s="36"/>
      <c r="AS42" s="36"/>
      <c r="AT42" s="36"/>
      <c r="AU42" s="280"/>
      <c r="AV42" s="36"/>
      <c r="AW42" s="36"/>
      <c r="AX42" s="36"/>
      <c r="AY42" s="36"/>
      <c r="AZ42" s="36"/>
      <c r="BA42" s="36"/>
      <c r="BB42" s="40"/>
      <c r="BC42" s="36"/>
      <c r="BD42" s="36"/>
      <c r="BE42" s="36"/>
      <c r="BF42" s="36"/>
      <c r="BG42" s="36"/>
      <c r="BH42" s="280"/>
      <c r="BI42" s="36"/>
      <c r="BJ42" s="36"/>
      <c r="BK42" s="36"/>
    </row>
    <row r="43" spans="1:63" ht="13.5" thickBot="1">
      <c r="A43" s="124" t="s">
        <v>132</v>
      </c>
      <c r="B43" s="125"/>
      <c r="C43" s="125"/>
      <c r="D43" s="125"/>
      <c r="E43" s="125"/>
      <c r="F43" s="125"/>
      <c r="G43" s="126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8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8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8"/>
      <c r="BC43" s="127"/>
      <c r="BD43" s="127"/>
      <c r="BE43" s="127"/>
      <c r="BF43" s="127"/>
      <c r="BG43" s="127"/>
      <c r="BH43" s="127"/>
      <c r="BI43" s="127"/>
      <c r="BJ43" s="127"/>
      <c r="BK43" s="129"/>
    </row>
    <row r="44" spans="1:63" ht="13.5" thickBot="1">
      <c r="A44" s="38"/>
      <c r="B44" s="38"/>
      <c r="C44" s="38"/>
      <c r="D44" s="38"/>
      <c r="E44" s="38"/>
      <c r="F44" s="38"/>
      <c r="G44" s="39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40"/>
      <c r="AC44" s="36"/>
      <c r="AD44" s="36"/>
      <c r="AE44" s="36"/>
      <c r="AF44" s="36"/>
      <c r="AG44" s="36"/>
      <c r="AH44" s="280"/>
      <c r="AI44" s="36"/>
      <c r="AJ44" s="36"/>
      <c r="AK44" s="36"/>
      <c r="AL44" s="36"/>
      <c r="AM44" s="36"/>
      <c r="AN44" s="36"/>
      <c r="AO44" s="40"/>
      <c r="AP44" s="36"/>
      <c r="AQ44" s="36"/>
      <c r="AR44" s="36"/>
      <c r="AS44" s="36"/>
      <c r="AT44" s="36"/>
      <c r="AU44" s="280"/>
      <c r="AV44" s="36"/>
      <c r="AW44" s="36"/>
      <c r="AX44" s="36"/>
      <c r="AY44" s="36"/>
      <c r="AZ44" s="36"/>
      <c r="BA44" s="36"/>
      <c r="BB44" s="40"/>
      <c r="BC44" s="36"/>
      <c r="BD44" s="36"/>
      <c r="BE44" s="36"/>
      <c r="BF44" s="36"/>
      <c r="BG44" s="36"/>
      <c r="BH44" s="280"/>
      <c r="BI44" s="36"/>
      <c r="BJ44" s="36"/>
      <c r="BK44" s="36"/>
    </row>
    <row r="45" spans="1:63" ht="30.75" customHeight="1" thickBot="1">
      <c r="A45" s="179" t="s">
        <v>177</v>
      </c>
      <c r="B45" s="180" t="s">
        <v>134</v>
      </c>
      <c r="C45" s="180" t="s">
        <v>134</v>
      </c>
      <c r="D45" s="180" t="s">
        <v>134</v>
      </c>
      <c r="E45" s="180" t="s">
        <v>134</v>
      </c>
      <c r="F45" s="180" t="s">
        <v>134</v>
      </c>
      <c r="G45" s="203" t="s">
        <v>179</v>
      </c>
      <c r="H45" s="182">
        <f>H46+H48+H50</f>
        <v>76019612000</v>
      </c>
      <c r="I45" s="183">
        <f aca="true" t="shared" si="62" ref="I45:BK45">I46+I48+I50</f>
        <v>0</v>
      </c>
      <c r="J45" s="183">
        <f t="shared" si="62"/>
        <v>0</v>
      </c>
      <c r="K45" s="183">
        <f t="shared" si="62"/>
        <v>0</v>
      </c>
      <c r="L45" s="183">
        <f t="shared" si="62"/>
        <v>0</v>
      </c>
      <c r="M45" s="183">
        <f t="shared" si="62"/>
        <v>2851644923</v>
      </c>
      <c r="N45" s="184">
        <f t="shared" si="62"/>
        <v>78871256923</v>
      </c>
      <c r="O45" s="182">
        <f t="shared" si="62"/>
        <v>76019612000</v>
      </c>
      <c r="P45" s="183">
        <f t="shared" si="62"/>
        <v>0</v>
      </c>
      <c r="Q45" s="183">
        <f t="shared" si="62"/>
        <v>0</v>
      </c>
      <c r="R45" s="183">
        <f t="shared" si="62"/>
        <v>0</v>
      </c>
      <c r="S45" s="183">
        <f t="shared" si="62"/>
        <v>0</v>
      </c>
      <c r="T45" s="183">
        <f t="shared" si="62"/>
        <v>2851644923</v>
      </c>
      <c r="U45" s="184">
        <f t="shared" si="62"/>
        <v>78871256923</v>
      </c>
      <c r="V45" s="182">
        <f t="shared" si="62"/>
        <v>74589822000</v>
      </c>
      <c r="W45" s="183">
        <f t="shared" si="62"/>
        <v>67458675</v>
      </c>
      <c r="X45" s="183">
        <f t="shared" si="62"/>
        <v>284011469</v>
      </c>
      <c r="Y45" s="183">
        <f t="shared" si="62"/>
        <v>203864661</v>
      </c>
      <c r="Z45" s="183">
        <f t="shared" si="62"/>
        <v>135767202</v>
      </c>
      <c r="AA45" s="183">
        <f t="shared" si="62"/>
        <v>117406500</v>
      </c>
      <c r="AB45" s="185">
        <f t="shared" si="62"/>
        <v>93041638</v>
      </c>
      <c r="AC45" s="183">
        <f t="shared" si="62"/>
        <v>92529979</v>
      </c>
      <c r="AD45" s="183">
        <f t="shared" si="62"/>
        <v>29943542</v>
      </c>
      <c r="AE45" s="183">
        <f t="shared" si="62"/>
        <v>147055766</v>
      </c>
      <c r="AF45" s="183">
        <f t="shared" si="62"/>
        <v>12145357</v>
      </c>
      <c r="AG45" s="183">
        <f t="shared" si="62"/>
        <v>2543380014</v>
      </c>
      <c r="AH45" s="184">
        <f t="shared" si="62"/>
        <v>78316426803</v>
      </c>
      <c r="AI45" s="182">
        <f t="shared" si="62"/>
        <v>0</v>
      </c>
      <c r="AJ45" s="183">
        <f t="shared" si="62"/>
        <v>5254577860</v>
      </c>
      <c r="AK45" s="183">
        <f t="shared" si="62"/>
        <v>6849795035</v>
      </c>
      <c r="AL45" s="183">
        <f t="shared" si="62"/>
        <v>5611378882</v>
      </c>
      <c r="AM45" s="183">
        <f t="shared" si="62"/>
        <v>5338506375</v>
      </c>
      <c r="AN45" s="183">
        <f t="shared" si="62"/>
        <v>3968456692</v>
      </c>
      <c r="AO45" s="185">
        <f t="shared" si="62"/>
        <v>7589752414</v>
      </c>
      <c r="AP45" s="183">
        <f t="shared" si="62"/>
        <v>7261459797</v>
      </c>
      <c r="AQ45" s="183">
        <f t="shared" si="62"/>
        <v>8603226231</v>
      </c>
      <c r="AR45" s="183">
        <f t="shared" si="62"/>
        <v>8719379104</v>
      </c>
      <c r="AS45" s="183">
        <f t="shared" si="62"/>
        <v>3379492975</v>
      </c>
      <c r="AT45" s="183">
        <f t="shared" si="62"/>
        <v>10730855796</v>
      </c>
      <c r="AU45" s="184">
        <f t="shared" si="62"/>
        <v>73306881161</v>
      </c>
      <c r="AV45" s="182">
        <f t="shared" si="62"/>
        <v>0</v>
      </c>
      <c r="AW45" s="183">
        <f t="shared" si="62"/>
        <v>5254577860</v>
      </c>
      <c r="AX45" s="183">
        <f t="shared" si="62"/>
        <v>6849795035</v>
      </c>
      <c r="AY45" s="183">
        <f t="shared" si="62"/>
        <v>5611378882</v>
      </c>
      <c r="AZ45" s="183">
        <f t="shared" si="62"/>
        <v>5338506375</v>
      </c>
      <c r="BA45" s="183">
        <f t="shared" si="62"/>
        <v>3968456692</v>
      </c>
      <c r="BB45" s="185">
        <f t="shared" si="62"/>
        <v>7589752414</v>
      </c>
      <c r="BC45" s="183">
        <f t="shared" si="62"/>
        <v>7261459797</v>
      </c>
      <c r="BD45" s="183">
        <f t="shared" si="62"/>
        <v>8603226231</v>
      </c>
      <c r="BE45" s="183">
        <f t="shared" si="62"/>
        <v>8719379104</v>
      </c>
      <c r="BF45" s="183">
        <f t="shared" si="62"/>
        <v>3379492975</v>
      </c>
      <c r="BG45" s="183">
        <f t="shared" si="62"/>
        <v>10477540942</v>
      </c>
      <c r="BH45" s="184">
        <f t="shared" si="62"/>
        <v>73053566307</v>
      </c>
      <c r="BI45" s="183">
        <f t="shared" si="62"/>
        <v>554830120</v>
      </c>
      <c r="BJ45" s="258">
        <f t="shared" si="62"/>
        <v>5009545642</v>
      </c>
      <c r="BK45" s="184">
        <f t="shared" si="62"/>
        <v>253314854</v>
      </c>
    </row>
    <row r="46" spans="1:63" ht="30.75" customHeight="1">
      <c r="A46" s="186" t="s">
        <v>177</v>
      </c>
      <c r="B46" s="187" t="s">
        <v>136</v>
      </c>
      <c r="C46" s="187" t="s">
        <v>180</v>
      </c>
      <c r="D46" s="187" t="s">
        <v>134</v>
      </c>
      <c r="E46" s="187" t="s">
        <v>134</v>
      </c>
      <c r="F46" s="187" t="s">
        <v>134</v>
      </c>
      <c r="G46" s="204" t="s">
        <v>181</v>
      </c>
      <c r="H46" s="190">
        <f>H47</f>
        <v>1500000000</v>
      </c>
      <c r="I46" s="191">
        <f aca="true" t="shared" si="63" ref="I46:BK46">I47</f>
        <v>0</v>
      </c>
      <c r="J46" s="191">
        <f t="shared" si="63"/>
        <v>0</v>
      </c>
      <c r="K46" s="191">
        <f t="shared" si="63"/>
        <v>0</v>
      </c>
      <c r="L46" s="191">
        <f t="shared" si="63"/>
        <v>0</v>
      </c>
      <c r="M46" s="191">
        <f t="shared" si="63"/>
        <v>0</v>
      </c>
      <c r="N46" s="192">
        <f t="shared" si="63"/>
        <v>1500000000</v>
      </c>
      <c r="O46" s="190">
        <f t="shared" si="63"/>
        <v>1500000000</v>
      </c>
      <c r="P46" s="191">
        <f t="shared" si="63"/>
        <v>0</v>
      </c>
      <c r="Q46" s="191">
        <f t="shared" si="63"/>
        <v>0</v>
      </c>
      <c r="R46" s="191">
        <f t="shared" si="63"/>
        <v>0</v>
      </c>
      <c r="S46" s="191">
        <f t="shared" si="63"/>
        <v>0</v>
      </c>
      <c r="T46" s="191">
        <f t="shared" si="63"/>
        <v>0</v>
      </c>
      <c r="U46" s="192">
        <f t="shared" si="63"/>
        <v>1500000000</v>
      </c>
      <c r="V46" s="190">
        <f t="shared" si="63"/>
        <v>70210000</v>
      </c>
      <c r="W46" s="191">
        <f t="shared" si="63"/>
        <v>67458675</v>
      </c>
      <c r="X46" s="191">
        <f t="shared" si="63"/>
        <v>284011469</v>
      </c>
      <c r="Y46" s="191">
        <f t="shared" si="63"/>
        <v>203864661</v>
      </c>
      <c r="Z46" s="191">
        <f t="shared" si="63"/>
        <v>135767202</v>
      </c>
      <c r="AA46" s="191">
        <f t="shared" si="63"/>
        <v>117406500</v>
      </c>
      <c r="AB46" s="193">
        <f t="shared" si="63"/>
        <v>93041638</v>
      </c>
      <c r="AC46" s="191">
        <f t="shared" si="63"/>
        <v>92529979</v>
      </c>
      <c r="AD46" s="191">
        <f t="shared" si="63"/>
        <v>29943542</v>
      </c>
      <c r="AE46" s="191">
        <f t="shared" si="63"/>
        <v>147055766</v>
      </c>
      <c r="AF46" s="191">
        <f t="shared" si="63"/>
        <v>12145357</v>
      </c>
      <c r="AG46" s="191">
        <f t="shared" si="63"/>
        <v>142236638</v>
      </c>
      <c r="AH46" s="192">
        <f t="shared" si="63"/>
        <v>1395671427</v>
      </c>
      <c r="AI46" s="190">
        <f t="shared" si="63"/>
        <v>0</v>
      </c>
      <c r="AJ46" s="191">
        <f t="shared" si="63"/>
        <v>11049872</v>
      </c>
      <c r="AK46" s="191">
        <f t="shared" si="63"/>
        <v>23316150</v>
      </c>
      <c r="AL46" s="191">
        <f t="shared" si="63"/>
        <v>33960713</v>
      </c>
      <c r="AM46" s="191">
        <f t="shared" si="63"/>
        <v>85648934</v>
      </c>
      <c r="AN46" s="191">
        <f t="shared" si="63"/>
        <v>178365331</v>
      </c>
      <c r="AO46" s="193">
        <f t="shared" si="63"/>
        <v>51302914</v>
      </c>
      <c r="AP46" s="191">
        <f t="shared" si="63"/>
        <v>128200122</v>
      </c>
      <c r="AQ46" s="191">
        <f t="shared" si="63"/>
        <v>47858185</v>
      </c>
      <c r="AR46" s="191">
        <f t="shared" si="63"/>
        <v>158803156</v>
      </c>
      <c r="AS46" s="191">
        <f t="shared" si="63"/>
        <v>161751666</v>
      </c>
      <c r="AT46" s="191">
        <f t="shared" si="63"/>
        <v>373744086</v>
      </c>
      <c r="AU46" s="192">
        <f t="shared" si="63"/>
        <v>1254001129</v>
      </c>
      <c r="AV46" s="190">
        <f t="shared" si="63"/>
        <v>0</v>
      </c>
      <c r="AW46" s="191">
        <f t="shared" si="63"/>
        <v>11049872</v>
      </c>
      <c r="AX46" s="191">
        <f t="shared" si="63"/>
        <v>23316150</v>
      </c>
      <c r="AY46" s="191">
        <f t="shared" si="63"/>
        <v>33960713</v>
      </c>
      <c r="AZ46" s="191">
        <f t="shared" si="63"/>
        <v>85648934</v>
      </c>
      <c r="BA46" s="191">
        <f t="shared" si="63"/>
        <v>178365331</v>
      </c>
      <c r="BB46" s="193">
        <f t="shared" si="63"/>
        <v>51302914</v>
      </c>
      <c r="BC46" s="191">
        <f t="shared" si="63"/>
        <v>128200122</v>
      </c>
      <c r="BD46" s="191">
        <f t="shared" si="63"/>
        <v>47858185</v>
      </c>
      <c r="BE46" s="191">
        <f t="shared" si="63"/>
        <v>158803156</v>
      </c>
      <c r="BF46" s="191">
        <f t="shared" si="63"/>
        <v>161751666</v>
      </c>
      <c r="BG46" s="191">
        <f t="shared" si="63"/>
        <v>359383892</v>
      </c>
      <c r="BH46" s="192">
        <f t="shared" si="63"/>
        <v>1239640935</v>
      </c>
      <c r="BI46" s="300">
        <f t="shared" si="63"/>
        <v>104328573</v>
      </c>
      <c r="BJ46" s="301">
        <f t="shared" si="63"/>
        <v>141670298</v>
      </c>
      <c r="BK46" s="293">
        <f t="shared" si="63"/>
        <v>14360194</v>
      </c>
    </row>
    <row r="47" spans="1:63" ht="30.75" customHeight="1">
      <c r="A47" s="136" t="s">
        <v>177</v>
      </c>
      <c r="B47" s="130" t="s">
        <v>136</v>
      </c>
      <c r="C47" s="130" t="s">
        <v>180</v>
      </c>
      <c r="D47" s="130" t="s">
        <v>182</v>
      </c>
      <c r="E47" s="130" t="s">
        <v>144</v>
      </c>
      <c r="F47" s="130" t="s">
        <v>140</v>
      </c>
      <c r="G47" s="306" t="s">
        <v>183</v>
      </c>
      <c r="H47" s="177">
        <f>U47-SUM(I47:M47)</f>
        <v>1500000000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272">
        <f>SUM(H47:M47)</f>
        <v>1500000000</v>
      </c>
      <c r="O47" s="177">
        <v>1500000000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272">
        <f>SUM(O47:T47)</f>
        <v>1500000000</v>
      </c>
      <c r="V47" s="177">
        <v>70210000</v>
      </c>
      <c r="W47" s="132">
        <v>67458675</v>
      </c>
      <c r="X47" s="132">
        <v>284011469</v>
      </c>
      <c r="Y47" s="132">
        <v>203864661</v>
      </c>
      <c r="Z47" s="132">
        <v>135767202</v>
      </c>
      <c r="AA47" s="132">
        <v>117406500</v>
      </c>
      <c r="AB47" s="133">
        <v>93041638</v>
      </c>
      <c r="AC47" s="132">
        <v>92529979</v>
      </c>
      <c r="AD47" s="132">
        <v>29943542</v>
      </c>
      <c r="AE47" s="132">
        <v>147055766</v>
      </c>
      <c r="AF47" s="132">
        <v>12145357</v>
      </c>
      <c r="AG47" s="132">
        <v>142236638</v>
      </c>
      <c r="AH47" s="272">
        <f>SUM(V47:AG47)</f>
        <v>1395671427</v>
      </c>
      <c r="AI47" s="177">
        <f aca="true" t="shared" si="64" ref="AI47:AI52">AV47</f>
        <v>0</v>
      </c>
      <c r="AJ47" s="132">
        <f aca="true" t="shared" si="65" ref="AJ47:AJ52">AW47</f>
        <v>11049872</v>
      </c>
      <c r="AK47" s="132">
        <f aca="true" t="shared" si="66" ref="AK47:AK52">AX47</f>
        <v>23316150</v>
      </c>
      <c r="AL47" s="132">
        <f aca="true" t="shared" si="67" ref="AL47:AL52">AY47</f>
        <v>33960713</v>
      </c>
      <c r="AM47" s="132">
        <f aca="true" t="shared" si="68" ref="AM47:AM52">AZ47</f>
        <v>85648934</v>
      </c>
      <c r="AN47" s="132">
        <f aca="true" t="shared" si="69" ref="AN47:AN52">BA47</f>
        <v>178365331</v>
      </c>
      <c r="AO47" s="133">
        <f aca="true" t="shared" si="70" ref="AO47:AO52">BB47</f>
        <v>51302914</v>
      </c>
      <c r="AP47" s="132">
        <f aca="true" t="shared" si="71" ref="AP47:AP52">BC47</f>
        <v>128200122</v>
      </c>
      <c r="AQ47" s="132">
        <f aca="true" t="shared" si="72" ref="AQ47:AQ52">BD47</f>
        <v>47858185</v>
      </c>
      <c r="AR47" s="132">
        <f aca="true" t="shared" si="73" ref="AR47:AR52">BE47</f>
        <v>158803156</v>
      </c>
      <c r="AS47" s="132">
        <f aca="true" t="shared" si="74" ref="AS47:AS52">BF47</f>
        <v>161751666</v>
      </c>
      <c r="AT47" s="132">
        <f>BG47+14360194</f>
        <v>373744086</v>
      </c>
      <c r="AU47" s="272">
        <f>SUM(AI47:AT47)</f>
        <v>1254001129</v>
      </c>
      <c r="AV47" s="177">
        <v>0</v>
      </c>
      <c r="AW47" s="132">
        <v>11049872</v>
      </c>
      <c r="AX47" s="132">
        <v>23316150</v>
      </c>
      <c r="AY47" s="132">
        <v>33960713</v>
      </c>
      <c r="AZ47" s="132">
        <v>85648934</v>
      </c>
      <c r="BA47" s="132">
        <v>178365331</v>
      </c>
      <c r="BB47" s="133">
        <v>51302914</v>
      </c>
      <c r="BC47" s="132">
        <v>128200122</v>
      </c>
      <c r="BD47" s="132">
        <v>47858185</v>
      </c>
      <c r="BE47" s="132">
        <v>158803156</v>
      </c>
      <c r="BF47" s="132">
        <v>161751666</v>
      </c>
      <c r="BG47" s="132">
        <v>359383892</v>
      </c>
      <c r="BH47" s="272">
        <f>SUM(AV47:BG47)</f>
        <v>1239640935</v>
      </c>
      <c r="BI47" s="302">
        <f>U47-AH47</f>
        <v>104328573</v>
      </c>
      <c r="BJ47" s="303">
        <f>AH47-AU47</f>
        <v>141670298</v>
      </c>
      <c r="BK47" s="296">
        <f>AU47-BH47</f>
        <v>14360194</v>
      </c>
    </row>
    <row r="48" spans="1:63" ht="30.75" customHeight="1">
      <c r="A48" s="186" t="s">
        <v>177</v>
      </c>
      <c r="B48" s="187" t="s">
        <v>136</v>
      </c>
      <c r="C48" s="187" t="s">
        <v>184</v>
      </c>
      <c r="D48" s="187" t="s">
        <v>134</v>
      </c>
      <c r="E48" s="187" t="s">
        <v>134</v>
      </c>
      <c r="F48" s="187" t="s">
        <v>134</v>
      </c>
      <c r="G48" s="204" t="s">
        <v>185</v>
      </c>
      <c r="H48" s="190">
        <f>H49</f>
        <v>200000000</v>
      </c>
      <c r="I48" s="191">
        <f aca="true" t="shared" si="75" ref="I48:BK48">I49</f>
        <v>0</v>
      </c>
      <c r="J48" s="191">
        <f t="shared" si="75"/>
        <v>0</v>
      </c>
      <c r="K48" s="191">
        <f t="shared" si="75"/>
        <v>0</v>
      </c>
      <c r="L48" s="191">
        <f t="shared" si="75"/>
        <v>0</v>
      </c>
      <c r="M48" s="191">
        <f t="shared" si="75"/>
        <v>0</v>
      </c>
      <c r="N48" s="192">
        <f t="shared" si="75"/>
        <v>200000000</v>
      </c>
      <c r="O48" s="190">
        <f t="shared" si="75"/>
        <v>200000000</v>
      </c>
      <c r="P48" s="191">
        <f t="shared" si="75"/>
        <v>0</v>
      </c>
      <c r="Q48" s="191">
        <f t="shared" si="75"/>
        <v>0</v>
      </c>
      <c r="R48" s="191">
        <f t="shared" si="75"/>
        <v>0</v>
      </c>
      <c r="S48" s="191">
        <f t="shared" si="75"/>
        <v>0</v>
      </c>
      <c r="T48" s="191">
        <f t="shared" si="75"/>
        <v>0</v>
      </c>
      <c r="U48" s="192">
        <f t="shared" si="75"/>
        <v>200000000</v>
      </c>
      <c r="V48" s="190">
        <f t="shared" si="75"/>
        <v>200000000</v>
      </c>
      <c r="W48" s="191">
        <f t="shared" si="75"/>
        <v>0</v>
      </c>
      <c r="X48" s="191">
        <f t="shared" si="75"/>
        <v>0</v>
      </c>
      <c r="Y48" s="191">
        <f t="shared" si="75"/>
        <v>0</v>
      </c>
      <c r="Z48" s="191">
        <f t="shared" si="75"/>
        <v>0</v>
      </c>
      <c r="AA48" s="191">
        <f t="shared" si="75"/>
        <v>0</v>
      </c>
      <c r="AB48" s="193">
        <f t="shared" si="75"/>
        <v>0</v>
      </c>
      <c r="AC48" s="191">
        <f t="shared" si="75"/>
        <v>0</v>
      </c>
      <c r="AD48" s="191">
        <f t="shared" si="75"/>
        <v>0</v>
      </c>
      <c r="AE48" s="191">
        <f t="shared" si="75"/>
        <v>0</v>
      </c>
      <c r="AF48" s="191">
        <f t="shared" si="75"/>
        <v>0</v>
      </c>
      <c r="AG48" s="191">
        <f t="shared" si="75"/>
        <v>-56000000</v>
      </c>
      <c r="AH48" s="192">
        <f t="shared" si="75"/>
        <v>144000000</v>
      </c>
      <c r="AI48" s="190">
        <f t="shared" si="75"/>
        <v>0</v>
      </c>
      <c r="AJ48" s="191">
        <f t="shared" si="75"/>
        <v>0</v>
      </c>
      <c r="AK48" s="191">
        <f t="shared" si="75"/>
        <v>0</v>
      </c>
      <c r="AL48" s="191">
        <f t="shared" si="75"/>
        <v>0</v>
      </c>
      <c r="AM48" s="191">
        <f t="shared" si="75"/>
        <v>0</v>
      </c>
      <c r="AN48" s="191">
        <f t="shared" si="75"/>
        <v>0</v>
      </c>
      <c r="AO48" s="193">
        <f t="shared" si="75"/>
        <v>0</v>
      </c>
      <c r="AP48" s="191">
        <f t="shared" si="75"/>
        <v>0</v>
      </c>
      <c r="AQ48" s="191">
        <f t="shared" si="75"/>
        <v>0</v>
      </c>
      <c r="AR48" s="191">
        <f t="shared" si="75"/>
        <v>0</v>
      </c>
      <c r="AS48" s="191">
        <f t="shared" si="75"/>
        <v>0</v>
      </c>
      <c r="AT48" s="191">
        <f t="shared" si="75"/>
        <v>45000000</v>
      </c>
      <c r="AU48" s="192">
        <f t="shared" si="75"/>
        <v>45000000</v>
      </c>
      <c r="AV48" s="190">
        <f t="shared" si="75"/>
        <v>0</v>
      </c>
      <c r="AW48" s="191">
        <f t="shared" si="75"/>
        <v>0</v>
      </c>
      <c r="AX48" s="191">
        <f t="shared" si="75"/>
        <v>0</v>
      </c>
      <c r="AY48" s="191">
        <f t="shared" si="75"/>
        <v>0</v>
      </c>
      <c r="AZ48" s="191">
        <f t="shared" si="75"/>
        <v>0</v>
      </c>
      <c r="BA48" s="191">
        <f t="shared" si="75"/>
        <v>0</v>
      </c>
      <c r="BB48" s="193">
        <f t="shared" si="75"/>
        <v>0</v>
      </c>
      <c r="BC48" s="191">
        <f t="shared" si="75"/>
        <v>0</v>
      </c>
      <c r="BD48" s="191">
        <f t="shared" si="75"/>
        <v>0</v>
      </c>
      <c r="BE48" s="191">
        <f t="shared" si="75"/>
        <v>0</v>
      </c>
      <c r="BF48" s="191">
        <f t="shared" si="75"/>
        <v>0</v>
      </c>
      <c r="BG48" s="191">
        <f t="shared" si="75"/>
        <v>0</v>
      </c>
      <c r="BH48" s="192">
        <f t="shared" si="75"/>
        <v>0</v>
      </c>
      <c r="BI48" s="300">
        <f t="shared" si="75"/>
        <v>56000000</v>
      </c>
      <c r="BJ48" s="301">
        <f t="shared" si="75"/>
        <v>99000000</v>
      </c>
      <c r="BK48" s="293">
        <f t="shared" si="75"/>
        <v>45000000</v>
      </c>
    </row>
    <row r="49" spans="1:63" ht="30.75" customHeight="1">
      <c r="A49" s="136" t="s">
        <v>177</v>
      </c>
      <c r="B49" s="130" t="s">
        <v>136</v>
      </c>
      <c r="C49" s="130" t="s">
        <v>184</v>
      </c>
      <c r="D49" s="130" t="s">
        <v>186</v>
      </c>
      <c r="E49" s="130" t="s">
        <v>137</v>
      </c>
      <c r="F49" s="130" t="s">
        <v>140</v>
      </c>
      <c r="G49" s="306" t="s">
        <v>187</v>
      </c>
      <c r="H49" s="177">
        <f>U49-SUM(I49:M49)</f>
        <v>200000000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272">
        <f>SUM(H49:M49)</f>
        <v>200000000</v>
      </c>
      <c r="O49" s="177">
        <v>200000000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272">
        <f>SUM(O49:T49)</f>
        <v>200000000</v>
      </c>
      <c r="V49" s="177">
        <v>200000000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3">
        <v>0</v>
      </c>
      <c r="AC49" s="132">
        <v>0</v>
      </c>
      <c r="AD49" s="132">
        <v>0</v>
      </c>
      <c r="AE49" s="132">
        <v>0</v>
      </c>
      <c r="AF49" s="132">
        <v>0</v>
      </c>
      <c r="AG49" s="132">
        <v>-56000000</v>
      </c>
      <c r="AH49" s="272">
        <f>SUM(V49:AG49)</f>
        <v>144000000</v>
      </c>
      <c r="AI49" s="177">
        <f t="shared" si="64"/>
        <v>0</v>
      </c>
      <c r="AJ49" s="132">
        <f t="shared" si="65"/>
        <v>0</v>
      </c>
      <c r="AK49" s="132">
        <f t="shared" si="66"/>
        <v>0</v>
      </c>
      <c r="AL49" s="132">
        <f t="shared" si="67"/>
        <v>0</v>
      </c>
      <c r="AM49" s="132">
        <f t="shared" si="68"/>
        <v>0</v>
      </c>
      <c r="AN49" s="132">
        <f t="shared" si="69"/>
        <v>0</v>
      </c>
      <c r="AO49" s="133">
        <f t="shared" si="70"/>
        <v>0</v>
      </c>
      <c r="AP49" s="132">
        <f t="shared" si="71"/>
        <v>0</v>
      </c>
      <c r="AQ49" s="132">
        <f t="shared" si="72"/>
        <v>0</v>
      </c>
      <c r="AR49" s="132">
        <f t="shared" si="73"/>
        <v>0</v>
      </c>
      <c r="AS49" s="132">
        <f t="shared" si="74"/>
        <v>0</v>
      </c>
      <c r="AT49" s="132">
        <f>BG49+45000000</f>
        <v>45000000</v>
      </c>
      <c r="AU49" s="272">
        <f>SUM(AI49:AT49)</f>
        <v>45000000</v>
      </c>
      <c r="AV49" s="177">
        <v>0</v>
      </c>
      <c r="AW49" s="132">
        <v>0</v>
      </c>
      <c r="AX49" s="132">
        <v>0</v>
      </c>
      <c r="AY49" s="132">
        <v>0</v>
      </c>
      <c r="AZ49" s="132">
        <v>0</v>
      </c>
      <c r="BA49" s="132">
        <v>0</v>
      </c>
      <c r="BB49" s="133">
        <v>0</v>
      </c>
      <c r="BC49" s="132">
        <v>0</v>
      </c>
      <c r="BD49" s="132">
        <v>0</v>
      </c>
      <c r="BE49" s="132">
        <v>0</v>
      </c>
      <c r="BF49" s="132">
        <v>0</v>
      </c>
      <c r="BG49" s="132">
        <v>0</v>
      </c>
      <c r="BH49" s="272">
        <f>SUM(AV49:BG49)</f>
        <v>0</v>
      </c>
      <c r="BI49" s="302">
        <f>U49-AH49</f>
        <v>56000000</v>
      </c>
      <c r="BJ49" s="303">
        <f>AH49-AU49</f>
        <v>99000000</v>
      </c>
      <c r="BK49" s="296">
        <f>AU49-BH49</f>
        <v>45000000</v>
      </c>
    </row>
    <row r="50" spans="1:63" ht="30.75" customHeight="1">
      <c r="A50" s="186" t="s">
        <v>177</v>
      </c>
      <c r="B50" s="187" t="s">
        <v>136</v>
      </c>
      <c r="C50" s="187" t="s">
        <v>188</v>
      </c>
      <c r="D50" s="187" t="s">
        <v>134</v>
      </c>
      <c r="E50" s="187" t="s">
        <v>134</v>
      </c>
      <c r="F50" s="187" t="s">
        <v>134</v>
      </c>
      <c r="G50" s="204" t="s">
        <v>189</v>
      </c>
      <c r="H50" s="190">
        <f>SUM(H51:H54)</f>
        <v>74319612000</v>
      </c>
      <c r="I50" s="191">
        <f aca="true" t="shared" si="76" ref="I50:BK50">SUM(I51:I54)</f>
        <v>0</v>
      </c>
      <c r="J50" s="191">
        <f t="shared" si="76"/>
        <v>0</v>
      </c>
      <c r="K50" s="191">
        <f t="shared" si="76"/>
        <v>0</v>
      </c>
      <c r="L50" s="191">
        <f t="shared" si="76"/>
        <v>0</v>
      </c>
      <c r="M50" s="191">
        <f t="shared" si="76"/>
        <v>2851644923</v>
      </c>
      <c r="N50" s="192">
        <f t="shared" si="76"/>
        <v>77171256923</v>
      </c>
      <c r="O50" s="190">
        <f t="shared" si="76"/>
        <v>74319612000</v>
      </c>
      <c r="P50" s="191">
        <f t="shared" si="76"/>
        <v>0</v>
      </c>
      <c r="Q50" s="191">
        <f t="shared" si="76"/>
        <v>0</v>
      </c>
      <c r="R50" s="191">
        <f t="shared" si="76"/>
        <v>0</v>
      </c>
      <c r="S50" s="191">
        <f t="shared" si="76"/>
        <v>0</v>
      </c>
      <c r="T50" s="191">
        <f t="shared" si="76"/>
        <v>2851644923</v>
      </c>
      <c r="U50" s="192">
        <f t="shared" si="76"/>
        <v>77171256923</v>
      </c>
      <c r="V50" s="190">
        <f t="shared" si="76"/>
        <v>74319612000</v>
      </c>
      <c r="W50" s="191">
        <f t="shared" si="76"/>
        <v>0</v>
      </c>
      <c r="X50" s="191">
        <f t="shared" si="76"/>
        <v>0</v>
      </c>
      <c r="Y50" s="191">
        <f t="shared" si="76"/>
        <v>0</v>
      </c>
      <c r="Z50" s="191">
        <f t="shared" si="76"/>
        <v>0</v>
      </c>
      <c r="AA50" s="191">
        <f t="shared" si="76"/>
        <v>0</v>
      </c>
      <c r="AB50" s="193">
        <f t="shared" si="76"/>
        <v>0</v>
      </c>
      <c r="AC50" s="191">
        <f t="shared" si="76"/>
        <v>0</v>
      </c>
      <c r="AD50" s="191">
        <f t="shared" si="76"/>
        <v>0</v>
      </c>
      <c r="AE50" s="191">
        <f t="shared" si="76"/>
        <v>0</v>
      </c>
      <c r="AF50" s="191">
        <f t="shared" si="76"/>
        <v>0</v>
      </c>
      <c r="AG50" s="191">
        <f t="shared" si="76"/>
        <v>2457143376</v>
      </c>
      <c r="AH50" s="192">
        <f t="shared" si="76"/>
        <v>76776755376</v>
      </c>
      <c r="AI50" s="190">
        <f t="shared" si="76"/>
        <v>0</v>
      </c>
      <c r="AJ50" s="191">
        <f t="shared" si="76"/>
        <v>5243527988</v>
      </c>
      <c r="AK50" s="191">
        <f t="shared" si="76"/>
        <v>6826478885</v>
      </c>
      <c r="AL50" s="191">
        <f t="shared" si="76"/>
        <v>5577418169</v>
      </c>
      <c r="AM50" s="191">
        <f t="shared" si="76"/>
        <v>5252857441</v>
      </c>
      <c r="AN50" s="191">
        <f t="shared" si="76"/>
        <v>3790091361</v>
      </c>
      <c r="AO50" s="193">
        <f t="shared" si="76"/>
        <v>7538449500</v>
      </c>
      <c r="AP50" s="191">
        <f t="shared" si="76"/>
        <v>7133259675</v>
      </c>
      <c r="AQ50" s="191">
        <f t="shared" si="76"/>
        <v>8555368046</v>
      </c>
      <c r="AR50" s="191">
        <f t="shared" si="76"/>
        <v>8560575948</v>
      </c>
      <c r="AS50" s="191">
        <f t="shared" si="76"/>
        <v>3217741309</v>
      </c>
      <c r="AT50" s="191">
        <f t="shared" si="76"/>
        <v>10312111710</v>
      </c>
      <c r="AU50" s="192">
        <f t="shared" si="76"/>
        <v>72007880032</v>
      </c>
      <c r="AV50" s="190">
        <f t="shared" si="76"/>
        <v>0</v>
      </c>
      <c r="AW50" s="191">
        <f t="shared" si="76"/>
        <v>5243527988</v>
      </c>
      <c r="AX50" s="191">
        <f t="shared" si="76"/>
        <v>6826478885</v>
      </c>
      <c r="AY50" s="191">
        <f t="shared" si="76"/>
        <v>5577418169</v>
      </c>
      <c r="AZ50" s="191">
        <f t="shared" si="76"/>
        <v>5252857441</v>
      </c>
      <c r="BA50" s="191">
        <f t="shared" si="76"/>
        <v>3790091361</v>
      </c>
      <c r="BB50" s="193">
        <f t="shared" si="76"/>
        <v>7538449500</v>
      </c>
      <c r="BC50" s="191">
        <f t="shared" si="76"/>
        <v>7133259675</v>
      </c>
      <c r="BD50" s="191">
        <f t="shared" si="76"/>
        <v>8555368046</v>
      </c>
      <c r="BE50" s="191">
        <f t="shared" si="76"/>
        <v>8560575948</v>
      </c>
      <c r="BF50" s="191">
        <f t="shared" si="76"/>
        <v>3217741309</v>
      </c>
      <c r="BG50" s="191">
        <f t="shared" si="76"/>
        <v>10118157050</v>
      </c>
      <c r="BH50" s="192">
        <f t="shared" si="76"/>
        <v>71813925372</v>
      </c>
      <c r="BI50" s="300">
        <f t="shared" si="76"/>
        <v>394501547</v>
      </c>
      <c r="BJ50" s="301">
        <f t="shared" si="76"/>
        <v>4768875344</v>
      </c>
      <c r="BK50" s="293">
        <f t="shared" si="76"/>
        <v>193954660</v>
      </c>
    </row>
    <row r="51" spans="1:63" ht="30.75" customHeight="1">
      <c r="A51" s="136" t="s">
        <v>177</v>
      </c>
      <c r="B51" s="130" t="s">
        <v>136</v>
      </c>
      <c r="C51" s="130" t="s">
        <v>188</v>
      </c>
      <c r="D51" s="130" t="s">
        <v>182</v>
      </c>
      <c r="E51" s="130" t="s">
        <v>190</v>
      </c>
      <c r="F51" s="130" t="s">
        <v>140</v>
      </c>
      <c r="G51" s="306" t="s">
        <v>191</v>
      </c>
      <c r="H51" s="177">
        <f>U51-SUM(I51:M51)</f>
        <v>1000000000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272">
        <f>SUM(H51:M51)</f>
        <v>1000000000</v>
      </c>
      <c r="O51" s="177">
        <v>1000000000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272">
        <f>SUM(O51:T51)</f>
        <v>1000000000</v>
      </c>
      <c r="V51" s="177">
        <v>1000000000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3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-18441374</v>
      </c>
      <c r="AH51" s="272">
        <f>SUM(V51:AG51)</f>
        <v>981558626</v>
      </c>
      <c r="AI51" s="177">
        <f aca="true" t="shared" si="77" ref="AI51:AT51">AV51</f>
        <v>0</v>
      </c>
      <c r="AJ51" s="132">
        <f t="shared" si="77"/>
        <v>40782120</v>
      </c>
      <c r="AK51" s="132">
        <f t="shared" si="77"/>
        <v>27607280</v>
      </c>
      <c r="AL51" s="132">
        <f t="shared" si="77"/>
        <v>79410500</v>
      </c>
      <c r="AM51" s="132">
        <f t="shared" si="77"/>
        <v>104364765</v>
      </c>
      <c r="AN51" s="132">
        <f t="shared" si="77"/>
        <v>124983106</v>
      </c>
      <c r="AO51" s="133">
        <f t="shared" si="77"/>
        <v>95383470</v>
      </c>
      <c r="AP51" s="132">
        <f t="shared" si="77"/>
        <v>99440220</v>
      </c>
      <c r="AQ51" s="132">
        <f t="shared" si="77"/>
        <v>51239585</v>
      </c>
      <c r="AR51" s="132">
        <f t="shared" si="77"/>
        <v>114332086</v>
      </c>
      <c r="AS51" s="132">
        <f t="shared" si="77"/>
        <v>54676632</v>
      </c>
      <c r="AT51" s="132">
        <f t="shared" si="77"/>
        <v>110964900</v>
      </c>
      <c r="AU51" s="272">
        <f>SUM(AI51:AT51)</f>
        <v>903184664</v>
      </c>
      <c r="AV51" s="177">
        <v>0</v>
      </c>
      <c r="AW51" s="132">
        <v>40782120</v>
      </c>
      <c r="AX51" s="132">
        <v>27607280</v>
      </c>
      <c r="AY51" s="132">
        <v>79410500</v>
      </c>
      <c r="AZ51" s="132">
        <v>104364765</v>
      </c>
      <c r="BA51" s="132">
        <v>124983106</v>
      </c>
      <c r="BB51" s="133">
        <v>95383470</v>
      </c>
      <c r="BC51" s="132">
        <v>99440220</v>
      </c>
      <c r="BD51" s="132">
        <v>51239585</v>
      </c>
      <c r="BE51" s="132">
        <v>114332086</v>
      </c>
      <c r="BF51" s="132">
        <v>54676632</v>
      </c>
      <c r="BG51" s="132">
        <v>110964900</v>
      </c>
      <c r="BH51" s="272">
        <f>SUM(AV51:BG51)</f>
        <v>903184664</v>
      </c>
      <c r="BI51" s="302">
        <f>U51-AH51</f>
        <v>18441374</v>
      </c>
      <c r="BJ51" s="303">
        <f>AH51-AU51</f>
        <v>78373962</v>
      </c>
      <c r="BK51" s="296">
        <f>AU51-BH51</f>
        <v>0</v>
      </c>
    </row>
    <row r="52" spans="1:63" ht="30.75" customHeight="1">
      <c r="A52" s="136" t="s">
        <v>177</v>
      </c>
      <c r="B52" s="130" t="s">
        <v>136</v>
      </c>
      <c r="C52" s="130" t="s">
        <v>188</v>
      </c>
      <c r="D52" s="130" t="s">
        <v>192</v>
      </c>
      <c r="E52" s="130" t="s">
        <v>193</v>
      </c>
      <c r="F52" s="130" t="s">
        <v>140</v>
      </c>
      <c r="G52" s="306" t="s">
        <v>194</v>
      </c>
      <c r="H52" s="177">
        <f>U52-SUM(I52:M52)</f>
        <v>47209912000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272">
        <f>SUM(H52:M52)</f>
        <v>47209912000</v>
      </c>
      <c r="O52" s="177">
        <v>47209912000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272">
        <f>SUM(O52:T52)</f>
        <v>47209912000</v>
      </c>
      <c r="V52" s="177">
        <v>47209912000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3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-2503329</v>
      </c>
      <c r="AH52" s="272">
        <f>SUM(V52:AG52)</f>
        <v>47207408671</v>
      </c>
      <c r="AI52" s="177">
        <f t="shared" si="64"/>
        <v>0</v>
      </c>
      <c r="AJ52" s="132">
        <f t="shared" si="65"/>
        <v>4687241695</v>
      </c>
      <c r="AK52" s="132">
        <f t="shared" si="66"/>
        <v>6102622034</v>
      </c>
      <c r="AL52" s="132">
        <f t="shared" si="67"/>
        <v>4387008395</v>
      </c>
      <c r="AM52" s="132">
        <f t="shared" si="68"/>
        <v>3650489220</v>
      </c>
      <c r="AN52" s="132">
        <f t="shared" si="69"/>
        <v>2948253578</v>
      </c>
      <c r="AO52" s="133">
        <f t="shared" si="70"/>
        <v>6578597703</v>
      </c>
      <c r="AP52" s="132">
        <f t="shared" si="71"/>
        <v>5330953811</v>
      </c>
      <c r="AQ52" s="132">
        <f t="shared" si="72"/>
        <v>7040022325</v>
      </c>
      <c r="AR52" s="132">
        <f t="shared" si="73"/>
        <v>5426150535</v>
      </c>
      <c r="AS52" s="132">
        <f t="shared" si="74"/>
        <v>552356621</v>
      </c>
      <c r="AT52" s="132">
        <f>BG52</f>
        <v>503712754</v>
      </c>
      <c r="AU52" s="272">
        <f>SUM(AI52:AT52)</f>
        <v>47207408671</v>
      </c>
      <c r="AV52" s="177">
        <v>0</v>
      </c>
      <c r="AW52" s="132">
        <v>4687241695</v>
      </c>
      <c r="AX52" s="132">
        <f>6102622034</f>
        <v>6102622034</v>
      </c>
      <c r="AY52" s="132">
        <f>4387008395</f>
        <v>4387008395</v>
      </c>
      <c r="AZ52" s="132">
        <f>3650489220</f>
        <v>3650489220</v>
      </c>
      <c r="BA52" s="132">
        <f>2948253578</f>
        <v>2948253578</v>
      </c>
      <c r="BB52" s="133">
        <f>6578597703</f>
        <v>6578597703</v>
      </c>
      <c r="BC52" s="132">
        <v>5330953811</v>
      </c>
      <c r="BD52" s="132">
        <f>7040022325</f>
        <v>7040022325</v>
      </c>
      <c r="BE52" s="132">
        <f>5426150535</f>
        <v>5426150535</v>
      </c>
      <c r="BF52" s="132">
        <f>552356621</f>
        <v>552356621</v>
      </c>
      <c r="BG52" s="132">
        <f>503712754</f>
        <v>503712754</v>
      </c>
      <c r="BH52" s="272">
        <f>SUM(AV52:BG52)</f>
        <v>47207408671</v>
      </c>
      <c r="BI52" s="302">
        <f>U52-AH52</f>
        <v>2503329</v>
      </c>
      <c r="BJ52" s="303">
        <f>AH52-AU52</f>
        <v>0</v>
      </c>
      <c r="BK52" s="296">
        <f>AU52-BH52</f>
        <v>0</v>
      </c>
    </row>
    <row r="53" spans="1:63" ht="30.75" customHeight="1">
      <c r="A53" s="136" t="s">
        <v>177</v>
      </c>
      <c r="B53" s="130" t="s">
        <v>136</v>
      </c>
      <c r="C53" s="130" t="s">
        <v>188</v>
      </c>
      <c r="D53" s="130" t="s">
        <v>192</v>
      </c>
      <c r="E53" s="130" t="s">
        <v>193</v>
      </c>
      <c r="F53" s="130" t="s">
        <v>195</v>
      </c>
      <c r="G53" s="306" t="s">
        <v>194</v>
      </c>
      <c r="H53" s="177">
        <f>U53-SUM(I53:M53)</f>
        <v>25259700000</v>
      </c>
      <c r="I53" s="132">
        <v>0</v>
      </c>
      <c r="J53" s="132">
        <v>0</v>
      </c>
      <c r="K53" s="132">
        <v>0</v>
      </c>
      <c r="L53" s="132">
        <v>0</v>
      </c>
      <c r="M53" s="132">
        <v>2851644923</v>
      </c>
      <c r="N53" s="272">
        <f>SUM(H53:M53)</f>
        <v>28111344923</v>
      </c>
      <c r="O53" s="177">
        <v>25259700000</v>
      </c>
      <c r="P53" s="132">
        <v>0</v>
      </c>
      <c r="Q53" s="132">
        <v>0</v>
      </c>
      <c r="R53" s="132">
        <v>0</v>
      </c>
      <c r="S53" s="132">
        <v>0</v>
      </c>
      <c r="T53" s="132">
        <v>2851644923</v>
      </c>
      <c r="U53" s="272">
        <f>SUM(O53:T53)</f>
        <v>28111344923</v>
      </c>
      <c r="V53" s="177">
        <v>25259700000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3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f>2605767400-118768321</f>
        <v>2486999079</v>
      </c>
      <c r="AH53" s="272">
        <f>SUM(V53:AG53)</f>
        <v>27746699079</v>
      </c>
      <c r="AI53" s="177">
        <f aca="true" t="shared" si="78" ref="AI53:AT54">AV53</f>
        <v>0</v>
      </c>
      <c r="AJ53" s="132">
        <f t="shared" si="78"/>
        <v>515504173</v>
      </c>
      <c r="AK53" s="132">
        <f t="shared" si="78"/>
        <v>683302110</v>
      </c>
      <c r="AL53" s="132">
        <f t="shared" si="78"/>
        <v>1081910576</v>
      </c>
      <c r="AM53" s="132">
        <f t="shared" si="78"/>
        <v>1451007105</v>
      </c>
      <c r="AN53" s="132">
        <f t="shared" si="78"/>
        <v>652472866</v>
      </c>
      <c r="AO53" s="133">
        <f t="shared" si="78"/>
        <v>770170464</v>
      </c>
      <c r="AP53" s="132">
        <f t="shared" si="78"/>
        <v>1631201382</v>
      </c>
      <c r="AQ53" s="132">
        <f t="shared" si="78"/>
        <v>1421433993</v>
      </c>
      <c r="AR53" s="132">
        <f t="shared" si="78"/>
        <v>2972361880</v>
      </c>
      <c r="AS53" s="132">
        <f t="shared" si="78"/>
        <v>2582213613</v>
      </c>
      <c r="AT53" s="132">
        <f>BG53+124441527+69513133</f>
        <v>9624143856</v>
      </c>
      <c r="AU53" s="272">
        <f>SUM(AI53:AT53)</f>
        <v>23385722018</v>
      </c>
      <c r="AV53" s="177">
        <v>0</v>
      </c>
      <c r="AW53" s="132">
        <f>114320400+398732173+2451600</f>
        <v>515504173</v>
      </c>
      <c r="AX53" s="132">
        <f>201824797+464349593+17127720</f>
        <v>683302110</v>
      </c>
      <c r="AY53" s="132">
        <f>541628605+540281971</f>
        <v>1081910576</v>
      </c>
      <c r="AZ53" s="132">
        <f>0+738429651+710051334+2526120</f>
        <v>1451007105</v>
      </c>
      <c r="BA53" s="132">
        <f>138498852+513974014</f>
        <v>652472866</v>
      </c>
      <c r="BB53" s="133">
        <f>250046487+520123977</f>
        <v>770170464</v>
      </c>
      <c r="BC53" s="132">
        <f>643437785+987763597</f>
        <v>1631201382</v>
      </c>
      <c r="BD53" s="132">
        <f>829050281+572546880+19836832</f>
        <v>1421433993</v>
      </c>
      <c r="BE53" s="132">
        <f>889240006+1102271798+980850076</f>
        <v>2972361880</v>
      </c>
      <c r="BF53" s="132">
        <f>1410914535+419053754+752245324</f>
        <v>2582213613</v>
      </c>
      <c r="BG53" s="132">
        <f>8616226090+92790080+721173026</f>
        <v>9430189196</v>
      </c>
      <c r="BH53" s="272">
        <f>SUM(AV53:BG53)</f>
        <v>23191767358</v>
      </c>
      <c r="BI53" s="302">
        <f>U53-AH53</f>
        <v>364645844</v>
      </c>
      <c r="BJ53" s="303">
        <f>AH53-AU53</f>
        <v>4360977061</v>
      </c>
      <c r="BK53" s="296">
        <f>AU53-BH53</f>
        <v>193954660</v>
      </c>
    </row>
    <row r="54" spans="1:63" ht="30.75" customHeight="1" thickBot="1">
      <c r="A54" s="137" t="s">
        <v>177</v>
      </c>
      <c r="B54" s="138" t="s">
        <v>136</v>
      </c>
      <c r="C54" s="138" t="s">
        <v>188</v>
      </c>
      <c r="D54" s="138" t="s">
        <v>192</v>
      </c>
      <c r="E54" s="138" t="s">
        <v>196</v>
      </c>
      <c r="F54" s="138" t="s">
        <v>140</v>
      </c>
      <c r="G54" s="307" t="s">
        <v>197</v>
      </c>
      <c r="H54" s="178">
        <f>U54-SUM(I54:M54)</f>
        <v>850000000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273">
        <f>SUM(H54:M54)</f>
        <v>850000000</v>
      </c>
      <c r="O54" s="178">
        <v>850000000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273">
        <f>SUM(O54:T54)</f>
        <v>850000000</v>
      </c>
      <c r="V54" s="178">
        <v>850000000</v>
      </c>
      <c r="W54" s="141">
        <v>0</v>
      </c>
      <c r="X54" s="141">
        <v>0</v>
      </c>
      <c r="Y54" s="141">
        <v>0</v>
      </c>
      <c r="Z54" s="141">
        <v>0</v>
      </c>
      <c r="AA54" s="141">
        <v>0</v>
      </c>
      <c r="AB54" s="142">
        <v>0</v>
      </c>
      <c r="AC54" s="141">
        <v>0</v>
      </c>
      <c r="AD54" s="141">
        <v>0</v>
      </c>
      <c r="AE54" s="141">
        <v>0</v>
      </c>
      <c r="AF54" s="141">
        <v>0</v>
      </c>
      <c r="AG54" s="141">
        <v>-8911000</v>
      </c>
      <c r="AH54" s="273">
        <f>SUM(V54:AG54)</f>
        <v>841089000</v>
      </c>
      <c r="AI54" s="178">
        <f t="shared" si="78"/>
        <v>0</v>
      </c>
      <c r="AJ54" s="141">
        <f t="shared" si="78"/>
        <v>0</v>
      </c>
      <c r="AK54" s="141">
        <f t="shared" si="78"/>
        <v>12947461</v>
      </c>
      <c r="AL54" s="141">
        <f t="shared" si="78"/>
        <v>29088698</v>
      </c>
      <c r="AM54" s="141">
        <f t="shared" si="78"/>
        <v>46996351</v>
      </c>
      <c r="AN54" s="141">
        <f t="shared" si="78"/>
        <v>64381811</v>
      </c>
      <c r="AO54" s="142">
        <f t="shared" si="78"/>
        <v>94297863</v>
      </c>
      <c r="AP54" s="141">
        <f t="shared" si="78"/>
        <v>71664262</v>
      </c>
      <c r="AQ54" s="141">
        <f t="shared" si="78"/>
        <v>42672143</v>
      </c>
      <c r="AR54" s="141">
        <f t="shared" si="78"/>
        <v>47731447</v>
      </c>
      <c r="AS54" s="141">
        <f t="shared" si="78"/>
        <v>28494443</v>
      </c>
      <c r="AT54" s="141">
        <f t="shared" si="78"/>
        <v>73290200</v>
      </c>
      <c r="AU54" s="273">
        <f>SUM(AI54:AT54)</f>
        <v>511564679</v>
      </c>
      <c r="AV54" s="178">
        <v>0</v>
      </c>
      <c r="AW54" s="141">
        <v>0</v>
      </c>
      <c r="AX54" s="141">
        <v>12947461</v>
      </c>
      <c r="AY54" s="141">
        <v>29088698</v>
      </c>
      <c r="AZ54" s="141">
        <v>46996351</v>
      </c>
      <c r="BA54" s="141">
        <v>64381811</v>
      </c>
      <c r="BB54" s="142">
        <v>94297863</v>
      </c>
      <c r="BC54" s="141">
        <v>71664262</v>
      </c>
      <c r="BD54" s="141">
        <v>42672143</v>
      </c>
      <c r="BE54" s="141">
        <v>47731447</v>
      </c>
      <c r="BF54" s="141">
        <v>28494443</v>
      </c>
      <c r="BG54" s="141">
        <v>73290200</v>
      </c>
      <c r="BH54" s="273">
        <f>SUM(AV54:BG54)</f>
        <v>511564679</v>
      </c>
      <c r="BI54" s="304">
        <f>U54-AH54</f>
        <v>8911000</v>
      </c>
      <c r="BJ54" s="305">
        <f>AH54-AU54</f>
        <v>329524321</v>
      </c>
      <c r="BK54" s="299">
        <f>AU54-BH54</f>
        <v>0</v>
      </c>
    </row>
    <row r="55" ht="13.5" thickBot="1"/>
    <row r="56" spans="1:63" ht="13.5" thickBot="1">
      <c r="A56" s="124" t="s">
        <v>198</v>
      </c>
      <c r="B56" s="125"/>
      <c r="C56" s="125"/>
      <c r="D56" s="125"/>
      <c r="E56" s="125"/>
      <c r="F56" s="125"/>
      <c r="G56" s="12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8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8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8"/>
      <c r="BC56" s="127"/>
      <c r="BD56" s="127"/>
      <c r="BE56" s="127"/>
      <c r="BF56" s="127"/>
      <c r="BG56" s="127"/>
      <c r="BH56" s="127"/>
      <c r="BI56" s="127"/>
      <c r="BJ56" s="127"/>
      <c r="BK56" s="129"/>
    </row>
    <row r="57" ht="13.5" thickBot="1"/>
    <row r="58" spans="1:63" ht="30.75" customHeight="1" thickBot="1">
      <c r="A58" s="179" t="s">
        <v>177</v>
      </c>
      <c r="B58" s="180" t="s">
        <v>134</v>
      </c>
      <c r="C58" s="180" t="s">
        <v>134</v>
      </c>
      <c r="D58" s="180" t="s">
        <v>134</v>
      </c>
      <c r="E58" s="180" t="s">
        <v>134</v>
      </c>
      <c r="F58" s="180" t="s">
        <v>134</v>
      </c>
      <c r="G58" s="203" t="s">
        <v>199</v>
      </c>
      <c r="H58" s="182">
        <f aca="true" t="shared" si="79" ref="H58:AM58">H59</f>
        <v>23150000000</v>
      </c>
      <c r="I58" s="183">
        <f t="shared" si="79"/>
        <v>0</v>
      </c>
      <c r="J58" s="183">
        <f t="shared" si="79"/>
        <v>0</v>
      </c>
      <c r="K58" s="183">
        <f t="shared" si="79"/>
        <v>0</v>
      </c>
      <c r="L58" s="183">
        <f t="shared" si="79"/>
        <v>0</v>
      </c>
      <c r="M58" s="183">
        <f t="shared" si="79"/>
        <v>0</v>
      </c>
      <c r="N58" s="184">
        <f t="shared" si="79"/>
        <v>23150000000</v>
      </c>
      <c r="O58" s="182">
        <f t="shared" si="79"/>
        <v>23150000000</v>
      </c>
      <c r="P58" s="183">
        <f t="shared" si="79"/>
        <v>0</v>
      </c>
      <c r="Q58" s="183">
        <f t="shared" si="79"/>
        <v>0</v>
      </c>
      <c r="R58" s="183">
        <f t="shared" si="79"/>
        <v>0</v>
      </c>
      <c r="S58" s="183">
        <f t="shared" si="79"/>
        <v>0</v>
      </c>
      <c r="T58" s="183">
        <f t="shared" si="79"/>
        <v>0</v>
      </c>
      <c r="U58" s="184">
        <f t="shared" si="79"/>
        <v>23150000000</v>
      </c>
      <c r="V58" s="183">
        <f t="shared" si="79"/>
        <v>23150000000</v>
      </c>
      <c r="W58" s="183">
        <f t="shared" si="79"/>
        <v>0</v>
      </c>
      <c r="X58" s="183">
        <f t="shared" si="79"/>
        <v>0</v>
      </c>
      <c r="Y58" s="183">
        <f t="shared" si="79"/>
        <v>0</v>
      </c>
      <c r="Z58" s="183">
        <f t="shared" si="79"/>
        <v>0</v>
      </c>
      <c r="AA58" s="183">
        <f t="shared" si="79"/>
        <v>0</v>
      </c>
      <c r="AB58" s="185">
        <f t="shared" si="79"/>
        <v>0</v>
      </c>
      <c r="AC58" s="183">
        <f t="shared" si="79"/>
        <v>0</v>
      </c>
      <c r="AD58" s="183">
        <f t="shared" si="79"/>
        <v>0</v>
      </c>
      <c r="AE58" s="183">
        <f t="shared" si="79"/>
        <v>0</v>
      </c>
      <c r="AF58" s="183">
        <f t="shared" si="79"/>
        <v>0</v>
      </c>
      <c r="AG58" s="183">
        <f t="shared" si="79"/>
        <v>-600000</v>
      </c>
      <c r="AH58" s="183">
        <f t="shared" si="79"/>
        <v>23149400000</v>
      </c>
      <c r="AI58" s="183">
        <f t="shared" si="79"/>
        <v>0</v>
      </c>
      <c r="AJ58" s="183">
        <f t="shared" si="79"/>
        <v>0</v>
      </c>
      <c r="AK58" s="183">
        <f t="shared" si="79"/>
        <v>945316620</v>
      </c>
      <c r="AL58" s="183">
        <f t="shared" si="79"/>
        <v>1270527422</v>
      </c>
      <c r="AM58" s="183">
        <f t="shared" si="79"/>
        <v>940260033</v>
      </c>
      <c r="AN58" s="183">
        <f aca="true" t="shared" si="80" ref="AN58:BK58">AN59</f>
        <v>921662991</v>
      </c>
      <c r="AO58" s="185">
        <f t="shared" si="80"/>
        <v>1396059746</v>
      </c>
      <c r="AP58" s="183">
        <f t="shared" si="80"/>
        <v>1470877286</v>
      </c>
      <c r="AQ58" s="183">
        <f t="shared" si="80"/>
        <v>3137959708</v>
      </c>
      <c r="AR58" s="183">
        <f t="shared" si="80"/>
        <v>1401272888</v>
      </c>
      <c r="AS58" s="183">
        <f t="shared" si="80"/>
        <v>1618658495</v>
      </c>
      <c r="AT58" s="183">
        <f t="shared" si="80"/>
        <v>2962809817</v>
      </c>
      <c r="AU58" s="183">
        <f t="shared" si="80"/>
        <v>16065405006</v>
      </c>
      <c r="AV58" s="182">
        <f t="shared" si="80"/>
        <v>0</v>
      </c>
      <c r="AW58" s="183">
        <f t="shared" si="80"/>
        <v>0</v>
      </c>
      <c r="AX58" s="183">
        <f t="shared" si="80"/>
        <v>945316620</v>
      </c>
      <c r="AY58" s="183">
        <f t="shared" si="80"/>
        <v>1270527422</v>
      </c>
      <c r="AZ58" s="183">
        <f t="shared" si="80"/>
        <v>940260033</v>
      </c>
      <c r="BA58" s="183">
        <f t="shared" si="80"/>
        <v>921662991</v>
      </c>
      <c r="BB58" s="185">
        <f t="shared" si="80"/>
        <v>1396059746</v>
      </c>
      <c r="BC58" s="183">
        <f t="shared" si="80"/>
        <v>1470877286</v>
      </c>
      <c r="BD58" s="183">
        <f t="shared" si="80"/>
        <v>3137959708</v>
      </c>
      <c r="BE58" s="183">
        <f t="shared" si="80"/>
        <v>1401272888</v>
      </c>
      <c r="BF58" s="183">
        <f t="shared" si="80"/>
        <v>1618658495</v>
      </c>
      <c r="BG58" s="183">
        <f t="shared" si="80"/>
        <v>2504221000</v>
      </c>
      <c r="BH58" s="184">
        <f t="shared" si="80"/>
        <v>15606816189</v>
      </c>
      <c r="BI58" s="183">
        <f t="shared" si="80"/>
        <v>600000</v>
      </c>
      <c r="BJ58" s="258">
        <f t="shared" si="80"/>
        <v>7083994994</v>
      </c>
      <c r="BK58" s="184">
        <f t="shared" si="80"/>
        <v>458588817</v>
      </c>
    </row>
    <row r="59" spans="1:63" ht="30.75" customHeight="1">
      <c r="A59" s="186" t="s">
        <v>177</v>
      </c>
      <c r="B59" s="187" t="s">
        <v>136</v>
      </c>
      <c r="C59" s="187" t="s">
        <v>188</v>
      </c>
      <c r="D59" s="187" t="s">
        <v>134</v>
      </c>
      <c r="E59" s="187" t="s">
        <v>134</v>
      </c>
      <c r="F59" s="187" t="s">
        <v>134</v>
      </c>
      <c r="G59" s="204" t="s">
        <v>189</v>
      </c>
      <c r="H59" s="190">
        <f>SUM(H60:H65)</f>
        <v>23150000000</v>
      </c>
      <c r="I59" s="191">
        <f aca="true" t="shared" si="81" ref="I59:X59">SUM(I60:I65)</f>
        <v>0</v>
      </c>
      <c r="J59" s="191">
        <f t="shared" si="81"/>
        <v>0</v>
      </c>
      <c r="K59" s="191">
        <f t="shared" si="81"/>
        <v>0</v>
      </c>
      <c r="L59" s="191">
        <f t="shared" si="81"/>
        <v>0</v>
      </c>
      <c r="M59" s="191">
        <f t="shared" si="81"/>
        <v>0</v>
      </c>
      <c r="N59" s="192">
        <f t="shared" si="81"/>
        <v>23150000000</v>
      </c>
      <c r="O59" s="190">
        <f t="shared" si="81"/>
        <v>23150000000</v>
      </c>
      <c r="P59" s="191">
        <f t="shared" si="81"/>
        <v>0</v>
      </c>
      <c r="Q59" s="191">
        <f t="shared" si="81"/>
        <v>0</v>
      </c>
      <c r="R59" s="191">
        <f t="shared" si="81"/>
        <v>0</v>
      </c>
      <c r="S59" s="191">
        <f t="shared" si="81"/>
        <v>0</v>
      </c>
      <c r="T59" s="191">
        <f t="shared" si="81"/>
        <v>0</v>
      </c>
      <c r="U59" s="192">
        <f t="shared" si="81"/>
        <v>23150000000</v>
      </c>
      <c r="V59" s="191">
        <f t="shared" si="81"/>
        <v>23150000000</v>
      </c>
      <c r="W59" s="191">
        <f t="shared" si="81"/>
        <v>0</v>
      </c>
      <c r="X59" s="191">
        <f t="shared" si="81"/>
        <v>0</v>
      </c>
      <c r="Y59" s="191">
        <f aca="true" t="shared" si="82" ref="Y59:AN59">SUM(Y60:Y65)</f>
        <v>0</v>
      </c>
      <c r="Z59" s="191">
        <f t="shared" si="82"/>
        <v>0</v>
      </c>
      <c r="AA59" s="191">
        <f t="shared" si="82"/>
        <v>0</v>
      </c>
      <c r="AB59" s="193">
        <f t="shared" si="82"/>
        <v>0</v>
      </c>
      <c r="AC59" s="191">
        <f t="shared" si="82"/>
        <v>0</v>
      </c>
      <c r="AD59" s="191">
        <f t="shared" si="82"/>
        <v>0</v>
      </c>
      <c r="AE59" s="191">
        <f t="shared" si="82"/>
        <v>0</v>
      </c>
      <c r="AF59" s="191">
        <f t="shared" si="82"/>
        <v>0</v>
      </c>
      <c r="AG59" s="191">
        <f t="shared" si="82"/>
        <v>-600000</v>
      </c>
      <c r="AH59" s="191">
        <f t="shared" si="82"/>
        <v>23149400000</v>
      </c>
      <c r="AI59" s="191">
        <f t="shared" si="82"/>
        <v>0</v>
      </c>
      <c r="AJ59" s="191">
        <f t="shared" si="82"/>
        <v>0</v>
      </c>
      <c r="AK59" s="191">
        <f t="shared" si="82"/>
        <v>945316620</v>
      </c>
      <c r="AL59" s="191">
        <f t="shared" si="82"/>
        <v>1270527422</v>
      </c>
      <c r="AM59" s="191">
        <f t="shared" si="82"/>
        <v>940260033</v>
      </c>
      <c r="AN59" s="191">
        <f t="shared" si="82"/>
        <v>921662991</v>
      </c>
      <c r="AO59" s="193">
        <f aca="true" t="shared" si="83" ref="AO59:BD59">SUM(AO60:AO65)</f>
        <v>1396059746</v>
      </c>
      <c r="AP59" s="191">
        <f t="shared" si="83"/>
        <v>1470877286</v>
      </c>
      <c r="AQ59" s="191">
        <f t="shared" si="83"/>
        <v>3137959708</v>
      </c>
      <c r="AR59" s="191">
        <f t="shared" si="83"/>
        <v>1401272888</v>
      </c>
      <c r="AS59" s="191">
        <f t="shared" si="83"/>
        <v>1618658495</v>
      </c>
      <c r="AT59" s="191">
        <f t="shared" si="83"/>
        <v>2962809817</v>
      </c>
      <c r="AU59" s="191">
        <f t="shared" si="83"/>
        <v>16065405006</v>
      </c>
      <c r="AV59" s="190">
        <f t="shared" si="83"/>
        <v>0</v>
      </c>
      <c r="AW59" s="191">
        <f t="shared" si="83"/>
        <v>0</v>
      </c>
      <c r="AX59" s="191">
        <f t="shared" si="83"/>
        <v>945316620</v>
      </c>
      <c r="AY59" s="191">
        <f t="shared" si="83"/>
        <v>1270527422</v>
      </c>
      <c r="AZ59" s="191">
        <f t="shared" si="83"/>
        <v>940260033</v>
      </c>
      <c r="BA59" s="191">
        <f t="shared" si="83"/>
        <v>921662991</v>
      </c>
      <c r="BB59" s="193">
        <f t="shared" si="83"/>
        <v>1396059746</v>
      </c>
      <c r="BC59" s="191">
        <f t="shared" si="83"/>
        <v>1470877286</v>
      </c>
      <c r="BD59" s="191">
        <f t="shared" si="83"/>
        <v>3137959708</v>
      </c>
      <c r="BE59" s="191">
        <f aca="true" t="shared" si="84" ref="BE59:BK59">SUM(BE60:BE65)</f>
        <v>1401272888</v>
      </c>
      <c r="BF59" s="191">
        <f t="shared" si="84"/>
        <v>1618658495</v>
      </c>
      <c r="BG59" s="191">
        <f t="shared" si="84"/>
        <v>2504221000</v>
      </c>
      <c r="BH59" s="192">
        <f t="shared" si="84"/>
        <v>15606816189</v>
      </c>
      <c r="BI59" s="300">
        <f t="shared" si="84"/>
        <v>600000</v>
      </c>
      <c r="BJ59" s="301">
        <f t="shared" si="84"/>
        <v>7083994994</v>
      </c>
      <c r="BK59" s="293">
        <f t="shared" si="84"/>
        <v>458588817</v>
      </c>
    </row>
    <row r="60" spans="1:63" ht="30.75" customHeight="1">
      <c r="A60" s="136" t="s">
        <v>177</v>
      </c>
      <c r="B60" s="130" t="s">
        <v>136</v>
      </c>
      <c r="C60" s="130" t="s">
        <v>188</v>
      </c>
      <c r="D60" s="130" t="s">
        <v>200</v>
      </c>
      <c r="E60" s="130" t="s">
        <v>144</v>
      </c>
      <c r="F60" s="130" t="s">
        <v>201</v>
      </c>
      <c r="G60" s="306" t="s">
        <v>202</v>
      </c>
      <c r="H60" s="177">
        <f aca="true" t="shared" si="85" ref="H60:H65">U60-SUM(I60:M60)</f>
        <v>7850000000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272">
        <f aca="true" t="shared" si="86" ref="N60:N65">SUM(H60:M60)</f>
        <v>7850000000</v>
      </c>
      <c r="O60" s="177">
        <v>7850000000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272">
        <f aca="true" t="shared" si="87" ref="U60:U65">SUM(O60:T60)</f>
        <v>7850000000</v>
      </c>
      <c r="V60" s="132">
        <v>7850000000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3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284">
        <f aca="true" t="shared" si="88" ref="AH60:AH65">SUM(V60:AG60)</f>
        <v>7850000000</v>
      </c>
      <c r="AI60" s="132">
        <f aca="true" t="shared" si="89" ref="AI60:AT65">AV60</f>
        <v>0</v>
      </c>
      <c r="AJ60" s="132">
        <f t="shared" si="89"/>
        <v>0</v>
      </c>
      <c r="AK60" s="132">
        <f t="shared" si="89"/>
        <v>0</v>
      </c>
      <c r="AL60" s="132">
        <f t="shared" si="89"/>
        <v>0</v>
      </c>
      <c r="AM60" s="132">
        <f t="shared" si="89"/>
        <v>0</v>
      </c>
      <c r="AN60" s="132">
        <f t="shared" si="89"/>
        <v>621063591</v>
      </c>
      <c r="AO60" s="133">
        <f t="shared" si="89"/>
        <v>809878002</v>
      </c>
      <c r="AP60" s="132">
        <f t="shared" si="89"/>
        <v>617126477</v>
      </c>
      <c r="AQ60" s="132">
        <f t="shared" si="89"/>
        <v>1248264600</v>
      </c>
      <c r="AR60" s="132">
        <f t="shared" si="89"/>
        <v>1155537422</v>
      </c>
      <c r="AS60" s="132">
        <f t="shared" si="89"/>
        <v>1550764000</v>
      </c>
      <c r="AT60" s="132">
        <f>BG60+30030000</f>
        <v>409813924</v>
      </c>
      <c r="AU60" s="284">
        <f aca="true" t="shared" si="90" ref="AU60:AU65">SUM(AI60:AT60)</f>
        <v>6412448016</v>
      </c>
      <c r="AV60" s="177">
        <v>0</v>
      </c>
      <c r="AW60" s="132">
        <v>0</v>
      </c>
      <c r="AX60" s="132">
        <v>0</v>
      </c>
      <c r="AY60" s="132">
        <v>0</v>
      </c>
      <c r="AZ60" s="132">
        <v>0</v>
      </c>
      <c r="BA60" s="132">
        <v>621063591</v>
      </c>
      <c r="BB60" s="133">
        <v>809878002</v>
      </c>
      <c r="BC60" s="132">
        <v>617126477</v>
      </c>
      <c r="BD60" s="132">
        <v>1248264600</v>
      </c>
      <c r="BE60" s="132">
        <v>1155537422</v>
      </c>
      <c r="BF60" s="132">
        <v>1550764000</v>
      </c>
      <c r="BG60" s="132">
        <v>379783924</v>
      </c>
      <c r="BH60" s="272">
        <f aca="true" t="shared" si="91" ref="BH60:BH65">SUM(AV60:BG60)</f>
        <v>6382418016</v>
      </c>
      <c r="BI60" s="302">
        <f aca="true" t="shared" si="92" ref="BI60:BI65">U60-AH60</f>
        <v>0</v>
      </c>
      <c r="BJ60" s="303">
        <f aca="true" t="shared" si="93" ref="BJ60:BJ65">AH60-AU60</f>
        <v>1437551984</v>
      </c>
      <c r="BK60" s="296">
        <f aca="true" t="shared" si="94" ref="BK60:BK65">AU60-BH60</f>
        <v>30030000</v>
      </c>
    </row>
    <row r="61" spans="1:63" ht="30.75" customHeight="1">
      <c r="A61" s="136" t="s">
        <v>177</v>
      </c>
      <c r="B61" s="130" t="s">
        <v>136</v>
      </c>
      <c r="C61" s="130" t="s">
        <v>188</v>
      </c>
      <c r="D61" s="130" t="s">
        <v>192</v>
      </c>
      <c r="E61" s="130" t="s">
        <v>193</v>
      </c>
      <c r="F61" s="130" t="s">
        <v>201</v>
      </c>
      <c r="G61" s="306" t="s">
        <v>194</v>
      </c>
      <c r="H61" s="177">
        <f t="shared" si="85"/>
        <v>2000000000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272">
        <f t="shared" si="86"/>
        <v>2000000000</v>
      </c>
      <c r="O61" s="177">
        <v>2000000000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272">
        <f t="shared" si="87"/>
        <v>2000000000</v>
      </c>
      <c r="V61" s="132">
        <v>2000000000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3">
        <v>0</v>
      </c>
      <c r="AC61" s="132">
        <v>0</v>
      </c>
      <c r="AD61" s="132">
        <v>0</v>
      </c>
      <c r="AE61" s="132">
        <v>0</v>
      </c>
      <c r="AF61" s="132">
        <v>0</v>
      </c>
      <c r="AG61" s="132">
        <v>0</v>
      </c>
      <c r="AH61" s="284">
        <f t="shared" si="88"/>
        <v>2000000000</v>
      </c>
      <c r="AI61" s="132">
        <f t="shared" si="89"/>
        <v>0</v>
      </c>
      <c r="AJ61" s="132">
        <f t="shared" si="89"/>
        <v>0</v>
      </c>
      <c r="AK61" s="132">
        <f t="shared" si="89"/>
        <v>479306170</v>
      </c>
      <c r="AL61" s="132">
        <f t="shared" si="89"/>
        <v>741610450</v>
      </c>
      <c r="AM61" s="132">
        <f t="shared" si="89"/>
        <v>652195200</v>
      </c>
      <c r="AN61" s="132">
        <f t="shared" si="89"/>
        <v>126888180</v>
      </c>
      <c r="AO61" s="133">
        <f t="shared" si="89"/>
        <v>0</v>
      </c>
      <c r="AP61" s="132">
        <f t="shared" si="89"/>
        <v>0</v>
      </c>
      <c r="AQ61" s="132">
        <f t="shared" si="89"/>
        <v>0</v>
      </c>
      <c r="AR61" s="132">
        <f t="shared" si="89"/>
        <v>0</v>
      </c>
      <c r="AS61" s="132">
        <f t="shared" si="89"/>
        <v>0</v>
      </c>
      <c r="AT61" s="132">
        <f t="shared" si="89"/>
        <v>0</v>
      </c>
      <c r="AU61" s="284">
        <f t="shared" si="90"/>
        <v>2000000000</v>
      </c>
      <c r="AV61" s="177">
        <v>0</v>
      </c>
      <c r="AW61" s="132">
        <v>0</v>
      </c>
      <c r="AX61" s="132">
        <f>479306170</f>
        <v>479306170</v>
      </c>
      <c r="AY61" s="132">
        <f>741610450</f>
        <v>741610450</v>
      </c>
      <c r="AZ61" s="132">
        <v>652195200</v>
      </c>
      <c r="BA61" s="132">
        <f>126888180</f>
        <v>126888180</v>
      </c>
      <c r="BB61" s="133">
        <v>0</v>
      </c>
      <c r="BC61" s="132">
        <v>0</v>
      </c>
      <c r="BD61" s="132">
        <v>0</v>
      </c>
      <c r="BE61" s="132">
        <v>0</v>
      </c>
      <c r="BF61" s="132">
        <v>0</v>
      </c>
      <c r="BG61" s="132">
        <v>0</v>
      </c>
      <c r="BH61" s="272">
        <f t="shared" si="91"/>
        <v>2000000000</v>
      </c>
      <c r="BI61" s="302">
        <f t="shared" si="92"/>
        <v>0</v>
      </c>
      <c r="BJ61" s="303">
        <f t="shared" si="93"/>
        <v>0</v>
      </c>
      <c r="BK61" s="296">
        <f t="shared" si="94"/>
        <v>0</v>
      </c>
    </row>
    <row r="62" spans="1:63" ht="30.75" customHeight="1">
      <c r="A62" s="136" t="s">
        <v>177</v>
      </c>
      <c r="B62" s="130" t="s">
        <v>136</v>
      </c>
      <c r="C62" s="130" t="s">
        <v>188</v>
      </c>
      <c r="D62" s="130" t="s">
        <v>192</v>
      </c>
      <c r="E62" s="130" t="s">
        <v>203</v>
      </c>
      <c r="F62" s="130" t="s">
        <v>201</v>
      </c>
      <c r="G62" s="306" t="s">
        <v>204</v>
      </c>
      <c r="H62" s="177">
        <f t="shared" si="85"/>
        <v>6500000000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272">
        <f t="shared" si="86"/>
        <v>6500000000</v>
      </c>
      <c r="O62" s="177">
        <v>6500000000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272">
        <f t="shared" si="87"/>
        <v>6500000000</v>
      </c>
      <c r="V62" s="132">
        <v>6500000000</v>
      </c>
      <c r="W62" s="132">
        <v>0</v>
      </c>
      <c r="X62" s="132">
        <v>0</v>
      </c>
      <c r="Y62" s="132">
        <v>0</v>
      </c>
      <c r="Z62" s="132">
        <v>0</v>
      </c>
      <c r="AA62" s="132">
        <v>0</v>
      </c>
      <c r="AB62" s="133">
        <v>0</v>
      </c>
      <c r="AC62" s="132">
        <v>0</v>
      </c>
      <c r="AD62" s="132">
        <v>0</v>
      </c>
      <c r="AE62" s="132">
        <v>0</v>
      </c>
      <c r="AF62" s="132">
        <v>0</v>
      </c>
      <c r="AG62" s="132">
        <v>0</v>
      </c>
      <c r="AH62" s="284">
        <f t="shared" si="88"/>
        <v>6500000000</v>
      </c>
      <c r="AI62" s="132">
        <f t="shared" si="89"/>
        <v>0</v>
      </c>
      <c r="AJ62" s="132">
        <f t="shared" si="89"/>
        <v>0</v>
      </c>
      <c r="AK62" s="132">
        <f t="shared" si="89"/>
        <v>466010450</v>
      </c>
      <c r="AL62" s="132">
        <f t="shared" si="89"/>
        <v>316496572</v>
      </c>
      <c r="AM62" s="132">
        <f t="shared" si="89"/>
        <v>284602833</v>
      </c>
      <c r="AN62" s="132">
        <f t="shared" si="89"/>
        <v>129131502</v>
      </c>
      <c r="AO62" s="133">
        <f t="shared" si="89"/>
        <v>506166500</v>
      </c>
      <c r="AP62" s="132">
        <f t="shared" si="89"/>
        <v>576879000</v>
      </c>
      <c r="AQ62" s="132">
        <f t="shared" si="89"/>
        <v>1217519000</v>
      </c>
      <c r="AR62" s="132">
        <f t="shared" si="89"/>
        <v>207759366</v>
      </c>
      <c r="AS62" s="132">
        <f t="shared" si="89"/>
        <v>42568495</v>
      </c>
      <c r="AT62" s="132">
        <f>BG62+401943817</f>
        <v>540813817</v>
      </c>
      <c r="AU62" s="284">
        <f t="shared" si="90"/>
        <v>4287947535</v>
      </c>
      <c r="AV62" s="177">
        <v>0</v>
      </c>
      <c r="AW62" s="132">
        <v>0</v>
      </c>
      <c r="AX62" s="132">
        <v>466010450</v>
      </c>
      <c r="AY62" s="132">
        <v>316496572</v>
      </c>
      <c r="AZ62" s="132">
        <v>284602833</v>
      </c>
      <c r="BA62" s="132">
        <v>129131502</v>
      </c>
      <c r="BB62" s="133">
        <v>506166500</v>
      </c>
      <c r="BC62" s="132">
        <v>576879000</v>
      </c>
      <c r="BD62" s="132">
        <v>1217519000</v>
      </c>
      <c r="BE62" s="132">
        <v>207759366</v>
      </c>
      <c r="BF62" s="132">
        <v>42568495</v>
      </c>
      <c r="BG62" s="132">
        <v>138870000</v>
      </c>
      <c r="BH62" s="272">
        <f t="shared" si="91"/>
        <v>3886003718</v>
      </c>
      <c r="BI62" s="302">
        <f t="shared" si="92"/>
        <v>0</v>
      </c>
      <c r="BJ62" s="303">
        <f t="shared" si="93"/>
        <v>2212052465</v>
      </c>
      <c r="BK62" s="296">
        <f t="shared" si="94"/>
        <v>401943817</v>
      </c>
    </row>
    <row r="63" spans="1:63" ht="30.75" customHeight="1">
      <c r="A63" s="136" t="s">
        <v>177</v>
      </c>
      <c r="B63" s="130" t="s">
        <v>136</v>
      </c>
      <c r="C63" s="130" t="s">
        <v>188</v>
      </c>
      <c r="D63" s="130" t="s">
        <v>192</v>
      </c>
      <c r="E63" s="130" t="s">
        <v>205</v>
      </c>
      <c r="F63" s="130" t="s">
        <v>201</v>
      </c>
      <c r="G63" s="306" t="s">
        <v>206</v>
      </c>
      <c r="H63" s="177">
        <f t="shared" si="85"/>
        <v>5000000000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272">
        <f t="shared" si="86"/>
        <v>5000000000</v>
      </c>
      <c r="O63" s="177">
        <v>5000000000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272">
        <f t="shared" si="87"/>
        <v>5000000000</v>
      </c>
      <c r="V63" s="132">
        <v>5000000000</v>
      </c>
      <c r="W63" s="132">
        <v>0</v>
      </c>
      <c r="X63" s="132">
        <v>0</v>
      </c>
      <c r="Y63" s="132">
        <v>0</v>
      </c>
      <c r="Z63" s="132">
        <v>0</v>
      </c>
      <c r="AA63" s="132">
        <v>0</v>
      </c>
      <c r="AB63" s="133">
        <v>0</v>
      </c>
      <c r="AC63" s="132">
        <v>0</v>
      </c>
      <c r="AD63" s="132">
        <v>0</v>
      </c>
      <c r="AE63" s="132">
        <v>0</v>
      </c>
      <c r="AF63" s="132">
        <v>0</v>
      </c>
      <c r="AG63" s="132"/>
      <c r="AH63" s="284">
        <f t="shared" si="88"/>
        <v>5000000000</v>
      </c>
      <c r="AI63" s="132">
        <f t="shared" si="89"/>
        <v>0</v>
      </c>
      <c r="AJ63" s="132">
        <f t="shared" si="89"/>
        <v>0</v>
      </c>
      <c r="AK63" s="132">
        <f t="shared" si="89"/>
        <v>0</v>
      </c>
      <c r="AL63" s="132">
        <f t="shared" si="89"/>
        <v>0</v>
      </c>
      <c r="AM63" s="132">
        <f t="shared" si="89"/>
        <v>0</v>
      </c>
      <c r="AN63" s="132">
        <f t="shared" si="89"/>
        <v>0</v>
      </c>
      <c r="AO63" s="133">
        <f t="shared" si="89"/>
        <v>0</v>
      </c>
      <c r="AP63" s="132">
        <f t="shared" si="89"/>
        <v>0</v>
      </c>
      <c r="AQ63" s="132">
        <f t="shared" si="89"/>
        <v>0</v>
      </c>
      <c r="AR63" s="132">
        <f t="shared" si="89"/>
        <v>0</v>
      </c>
      <c r="AS63" s="132">
        <f t="shared" si="89"/>
        <v>0</v>
      </c>
      <c r="AT63" s="132">
        <f t="shared" si="89"/>
        <v>1765362331</v>
      </c>
      <c r="AU63" s="284">
        <f t="shared" si="90"/>
        <v>1765362331</v>
      </c>
      <c r="AV63" s="177">
        <v>0</v>
      </c>
      <c r="AW63" s="132">
        <v>0</v>
      </c>
      <c r="AX63" s="132">
        <v>0</v>
      </c>
      <c r="AY63" s="132">
        <v>0</v>
      </c>
      <c r="AZ63" s="132">
        <v>0</v>
      </c>
      <c r="BA63" s="132">
        <v>0</v>
      </c>
      <c r="BB63" s="133">
        <v>0</v>
      </c>
      <c r="BC63" s="132">
        <v>0</v>
      </c>
      <c r="BD63" s="132">
        <v>0</v>
      </c>
      <c r="BE63" s="132">
        <v>0</v>
      </c>
      <c r="BF63" s="132">
        <v>0</v>
      </c>
      <c r="BG63" s="132">
        <v>1765362331</v>
      </c>
      <c r="BH63" s="272">
        <f t="shared" si="91"/>
        <v>1765362331</v>
      </c>
      <c r="BI63" s="302">
        <f t="shared" si="92"/>
        <v>0</v>
      </c>
      <c r="BJ63" s="303">
        <f t="shared" si="93"/>
        <v>3234637669</v>
      </c>
      <c r="BK63" s="296">
        <f t="shared" si="94"/>
        <v>0</v>
      </c>
    </row>
    <row r="64" spans="1:63" ht="30.75" customHeight="1">
      <c r="A64" s="136" t="s">
        <v>177</v>
      </c>
      <c r="B64" s="130" t="s">
        <v>136</v>
      </c>
      <c r="C64" s="130" t="s">
        <v>188</v>
      </c>
      <c r="D64" s="130" t="s">
        <v>192</v>
      </c>
      <c r="E64" s="130" t="s">
        <v>207</v>
      </c>
      <c r="F64" s="130" t="s">
        <v>201</v>
      </c>
      <c r="G64" s="306" t="s">
        <v>208</v>
      </c>
      <c r="H64" s="177">
        <f t="shared" si="85"/>
        <v>850000000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272">
        <f t="shared" si="86"/>
        <v>850000000</v>
      </c>
      <c r="O64" s="177">
        <v>850000000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272">
        <f t="shared" si="87"/>
        <v>850000000</v>
      </c>
      <c r="V64" s="132">
        <v>850000000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3">
        <v>0</v>
      </c>
      <c r="AC64" s="132">
        <v>0</v>
      </c>
      <c r="AD64" s="132">
        <v>0</v>
      </c>
      <c r="AE64" s="132">
        <v>0</v>
      </c>
      <c r="AF64" s="132">
        <v>0</v>
      </c>
      <c r="AG64" s="132">
        <v>-600000</v>
      </c>
      <c r="AH64" s="284">
        <f t="shared" si="88"/>
        <v>849400000</v>
      </c>
      <c r="AI64" s="132">
        <f t="shared" si="89"/>
        <v>0</v>
      </c>
      <c r="AJ64" s="132">
        <f t="shared" si="89"/>
        <v>0</v>
      </c>
      <c r="AK64" s="132">
        <f t="shared" si="89"/>
        <v>0</v>
      </c>
      <c r="AL64" s="132">
        <f t="shared" si="89"/>
        <v>0</v>
      </c>
      <c r="AM64" s="132">
        <f t="shared" si="89"/>
        <v>0</v>
      </c>
      <c r="AN64" s="132">
        <f t="shared" si="89"/>
        <v>0</v>
      </c>
      <c r="AO64" s="133">
        <f t="shared" si="89"/>
        <v>0</v>
      </c>
      <c r="AP64" s="132">
        <f t="shared" si="89"/>
        <v>96550000</v>
      </c>
      <c r="AQ64" s="132">
        <f t="shared" si="89"/>
        <v>325766000</v>
      </c>
      <c r="AR64" s="132">
        <f t="shared" si="89"/>
        <v>29295000</v>
      </c>
      <c r="AS64" s="132">
        <f t="shared" si="89"/>
        <v>0</v>
      </c>
      <c r="AT64" s="132">
        <f>BG64+26615000</f>
        <v>232905000</v>
      </c>
      <c r="AU64" s="284">
        <f t="shared" si="90"/>
        <v>684516000</v>
      </c>
      <c r="AV64" s="177">
        <v>0</v>
      </c>
      <c r="AW64" s="132">
        <v>0</v>
      </c>
      <c r="AX64" s="132">
        <v>0</v>
      </c>
      <c r="AY64" s="132">
        <v>0</v>
      </c>
      <c r="AZ64" s="132">
        <v>0</v>
      </c>
      <c r="BA64" s="132">
        <v>0</v>
      </c>
      <c r="BB64" s="133">
        <v>0</v>
      </c>
      <c r="BC64" s="132">
        <v>96550000</v>
      </c>
      <c r="BD64" s="132">
        <v>325766000</v>
      </c>
      <c r="BE64" s="132">
        <v>29295000</v>
      </c>
      <c r="BF64" s="132">
        <v>0</v>
      </c>
      <c r="BG64" s="132">
        <v>206290000</v>
      </c>
      <c r="BH64" s="272">
        <f t="shared" si="91"/>
        <v>657901000</v>
      </c>
      <c r="BI64" s="302">
        <f t="shared" si="92"/>
        <v>600000</v>
      </c>
      <c r="BJ64" s="303">
        <f t="shared" si="93"/>
        <v>164884000</v>
      </c>
      <c r="BK64" s="296">
        <f t="shared" si="94"/>
        <v>26615000</v>
      </c>
    </row>
    <row r="65" spans="1:63" ht="30.75" customHeight="1" thickBot="1">
      <c r="A65" s="137" t="s">
        <v>177</v>
      </c>
      <c r="B65" s="138" t="s">
        <v>136</v>
      </c>
      <c r="C65" s="138" t="s">
        <v>188</v>
      </c>
      <c r="D65" s="138" t="s">
        <v>192</v>
      </c>
      <c r="E65" s="138" t="s">
        <v>209</v>
      </c>
      <c r="F65" s="138" t="s">
        <v>201</v>
      </c>
      <c r="G65" s="307" t="s">
        <v>210</v>
      </c>
      <c r="H65" s="178">
        <f t="shared" si="85"/>
        <v>950000000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273">
        <f t="shared" si="86"/>
        <v>950000000</v>
      </c>
      <c r="O65" s="178">
        <v>950000000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273">
        <f t="shared" si="87"/>
        <v>950000000</v>
      </c>
      <c r="V65" s="141">
        <v>950000000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2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285">
        <f t="shared" si="88"/>
        <v>950000000</v>
      </c>
      <c r="AI65" s="141">
        <f t="shared" si="89"/>
        <v>0</v>
      </c>
      <c r="AJ65" s="141">
        <f t="shared" si="89"/>
        <v>0</v>
      </c>
      <c r="AK65" s="141">
        <f t="shared" si="89"/>
        <v>0</v>
      </c>
      <c r="AL65" s="141">
        <f t="shared" si="89"/>
        <v>212420400</v>
      </c>
      <c r="AM65" s="141">
        <f t="shared" si="89"/>
        <v>3462000</v>
      </c>
      <c r="AN65" s="141">
        <f t="shared" si="89"/>
        <v>44579718</v>
      </c>
      <c r="AO65" s="142">
        <f t="shared" si="89"/>
        <v>80015244</v>
      </c>
      <c r="AP65" s="141">
        <f t="shared" si="89"/>
        <v>180321809</v>
      </c>
      <c r="AQ65" s="141">
        <f t="shared" si="89"/>
        <v>346410108</v>
      </c>
      <c r="AR65" s="141">
        <f t="shared" si="89"/>
        <v>8681100</v>
      </c>
      <c r="AS65" s="141">
        <f t="shared" si="89"/>
        <v>25326000</v>
      </c>
      <c r="AT65" s="141">
        <f t="shared" si="89"/>
        <v>13914745</v>
      </c>
      <c r="AU65" s="285">
        <f t="shared" si="90"/>
        <v>915131124</v>
      </c>
      <c r="AV65" s="178">
        <v>0</v>
      </c>
      <c r="AW65" s="141">
        <v>0</v>
      </c>
      <c r="AX65" s="141">
        <v>0</v>
      </c>
      <c r="AY65" s="141">
        <v>212420400</v>
      </c>
      <c r="AZ65" s="141">
        <v>3462000</v>
      </c>
      <c r="BA65" s="141">
        <v>44579718</v>
      </c>
      <c r="BB65" s="142">
        <v>80015244</v>
      </c>
      <c r="BC65" s="141">
        <v>180321809</v>
      </c>
      <c r="BD65" s="141">
        <v>346410108</v>
      </c>
      <c r="BE65" s="141">
        <v>8681100</v>
      </c>
      <c r="BF65" s="141">
        <v>25326000</v>
      </c>
      <c r="BG65" s="141">
        <v>13914745</v>
      </c>
      <c r="BH65" s="273">
        <f t="shared" si="91"/>
        <v>915131124</v>
      </c>
      <c r="BI65" s="304">
        <f t="shared" si="92"/>
        <v>0</v>
      </c>
      <c r="BJ65" s="305">
        <f t="shared" si="93"/>
        <v>34868876</v>
      </c>
      <c r="BK65" s="299">
        <f t="shared" si="94"/>
        <v>0</v>
      </c>
    </row>
    <row r="67" spans="1:63" ht="12.75">
      <c r="A67" s="100" t="s">
        <v>211</v>
      </c>
      <c r="B67" s="100"/>
      <c r="C67" s="100"/>
      <c r="D67" s="100"/>
      <c r="E67" s="100"/>
      <c r="F67" s="100"/>
      <c r="G67" s="105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106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106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106"/>
      <c r="BC67" s="99"/>
      <c r="BD67" s="99"/>
      <c r="BE67" s="99"/>
      <c r="BF67" s="99"/>
      <c r="BG67" s="99"/>
      <c r="BH67" s="99"/>
      <c r="BI67" s="99"/>
      <c r="BJ67" s="99"/>
      <c r="BK67" s="99"/>
    </row>
    <row r="68" ht="13.5" thickBot="1"/>
    <row r="69" spans="1:63" ht="12.75">
      <c r="A69" s="37"/>
      <c r="B69" s="37"/>
      <c r="C69" s="37"/>
      <c r="D69" s="37"/>
      <c r="E69" s="37"/>
      <c r="F69" s="37"/>
      <c r="G69" s="207" t="s">
        <v>212</v>
      </c>
      <c r="H69" s="227">
        <f aca="true" t="shared" si="95" ref="H69:AM69">H10+H45</f>
        <v>89255854437</v>
      </c>
      <c r="I69" s="208">
        <f t="shared" si="95"/>
        <v>-404393984</v>
      </c>
      <c r="J69" s="208">
        <f t="shared" si="95"/>
        <v>404393984</v>
      </c>
      <c r="K69" s="208">
        <f t="shared" si="95"/>
        <v>0</v>
      </c>
      <c r="L69" s="208">
        <f t="shared" si="95"/>
        <v>0</v>
      </c>
      <c r="M69" s="208">
        <f t="shared" si="95"/>
        <v>4288500000</v>
      </c>
      <c r="N69" s="210">
        <f t="shared" si="95"/>
        <v>93544354437</v>
      </c>
      <c r="O69" s="227">
        <f t="shared" si="95"/>
        <v>89255854437</v>
      </c>
      <c r="P69" s="208">
        <f t="shared" si="95"/>
        <v>-1523196915</v>
      </c>
      <c r="Q69" s="208">
        <f t="shared" si="95"/>
        <v>1523196915</v>
      </c>
      <c r="R69" s="208">
        <f t="shared" si="95"/>
        <v>0</v>
      </c>
      <c r="S69" s="208">
        <f t="shared" si="95"/>
        <v>0</v>
      </c>
      <c r="T69" s="208">
        <f t="shared" si="95"/>
        <v>4288500000</v>
      </c>
      <c r="U69" s="210">
        <f t="shared" si="95"/>
        <v>93544354437</v>
      </c>
      <c r="V69" s="227">
        <f t="shared" si="95"/>
        <v>75599757165</v>
      </c>
      <c r="W69" s="208">
        <f t="shared" si="95"/>
        <v>1460461004</v>
      </c>
      <c r="X69" s="208">
        <f t="shared" si="95"/>
        <v>1225427580</v>
      </c>
      <c r="Y69" s="208">
        <f t="shared" si="95"/>
        <v>1146158728</v>
      </c>
      <c r="Z69" s="208">
        <f t="shared" si="95"/>
        <v>1025424922</v>
      </c>
      <c r="AA69" s="208">
        <f t="shared" si="95"/>
        <v>1361738282</v>
      </c>
      <c r="AB69" s="209">
        <f t="shared" si="95"/>
        <v>976065716</v>
      </c>
      <c r="AC69" s="208">
        <f t="shared" si="95"/>
        <v>1003359582</v>
      </c>
      <c r="AD69" s="208">
        <f t="shared" si="95"/>
        <v>812439296</v>
      </c>
      <c r="AE69" s="208">
        <f t="shared" si="95"/>
        <v>845933974</v>
      </c>
      <c r="AF69" s="208">
        <f t="shared" si="95"/>
        <v>1006875246</v>
      </c>
      <c r="AG69" s="208">
        <f t="shared" si="95"/>
        <v>5176589059</v>
      </c>
      <c r="AH69" s="210">
        <f t="shared" si="95"/>
        <v>91640230554</v>
      </c>
      <c r="AI69" s="227">
        <f t="shared" si="95"/>
        <v>415077754</v>
      </c>
      <c r="AJ69" s="208">
        <f t="shared" si="95"/>
        <v>6221802263</v>
      </c>
      <c r="AK69" s="208">
        <f t="shared" si="95"/>
        <v>7707480477</v>
      </c>
      <c r="AL69" s="208">
        <f t="shared" si="95"/>
        <v>6551387505</v>
      </c>
      <c r="AM69" s="208">
        <f t="shared" si="95"/>
        <v>6376315458</v>
      </c>
      <c r="AN69" s="208">
        <f aca="true" t="shared" si="96" ref="AN69:BK69">AN10+AN45</f>
        <v>5430519997</v>
      </c>
      <c r="AO69" s="209">
        <f t="shared" si="96"/>
        <v>8531865094</v>
      </c>
      <c r="AP69" s="208">
        <f t="shared" si="96"/>
        <v>8296463515</v>
      </c>
      <c r="AQ69" s="208">
        <f t="shared" si="96"/>
        <v>9501195232</v>
      </c>
      <c r="AR69" s="208">
        <f t="shared" si="96"/>
        <v>9521358135</v>
      </c>
      <c r="AS69" s="208">
        <f t="shared" si="96"/>
        <v>4466819854</v>
      </c>
      <c r="AT69" s="208">
        <f t="shared" si="96"/>
        <v>13289443488</v>
      </c>
      <c r="AU69" s="210">
        <f t="shared" si="96"/>
        <v>86309728772</v>
      </c>
      <c r="AV69" s="208">
        <f t="shared" si="96"/>
        <v>415077754</v>
      </c>
      <c r="AW69" s="208">
        <f t="shared" si="96"/>
        <v>6221802263</v>
      </c>
      <c r="AX69" s="208">
        <f t="shared" si="96"/>
        <v>7707480477</v>
      </c>
      <c r="AY69" s="208">
        <f t="shared" si="96"/>
        <v>6551387505</v>
      </c>
      <c r="AZ69" s="208">
        <f t="shared" si="96"/>
        <v>6376315458</v>
      </c>
      <c r="BA69" s="208">
        <f t="shared" si="96"/>
        <v>5430519997</v>
      </c>
      <c r="BB69" s="209">
        <f t="shared" si="96"/>
        <v>8531865094</v>
      </c>
      <c r="BC69" s="208">
        <f t="shared" si="96"/>
        <v>8296463515</v>
      </c>
      <c r="BD69" s="208">
        <f t="shared" si="96"/>
        <v>9501195232</v>
      </c>
      <c r="BE69" s="208">
        <f t="shared" si="96"/>
        <v>9521358135</v>
      </c>
      <c r="BF69" s="208">
        <f t="shared" si="96"/>
        <v>4466819854</v>
      </c>
      <c r="BG69" s="208">
        <f t="shared" si="96"/>
        <v>12937366800</v>
      </c>
      <c r="BH69" s="208">
        <f t="shared" si="96"/>
        <v>85957652084</v>
      </c>
      <c r="BI69" s="227">
        <f t="shared" si="96"/>
        <v>1904123883</v>
      </c>
      <c r="BJ69" s="259">
        <f t="shared" si="96"/>
        <v>5330501782</v>
      </c>
      <c r="BK69" s="210">
        <f t="shared" si="96"/>
        <v>352076688</v>
      </c>
    </row>
    <row r="70" spans="1:63" ht="13.5" thickBot="1">
      <c r="A70" s="37"/>
      <c r="B70" s="37"/>
      <c r="C70" s="37"/>
      <c r="D70" s="37"/>
      <c r="E70" s="37"/>
      <c r="F70" s="37"/>
      <c r="G70" s="211" t="s">
        <v>213</v>
      </c>
      <c r="H70" s="228">
        <f aca="true" t="shared" si="97" ref="H70:AM70">H58</f>
        <v>23150000000</v>
      </c>
      <c r="I70" s="212">
        <f t="shared" si="97"/>
        <v>0</v>
      </c>
      <c r="J70" s="212">
        <f t="shared" si="97"/>
        <v>0</v>
      </c>
      <c r="K70" s="212">
        <f t="shared" si="97"/>
        <v>0</v>
      </c>
      <c r="L70" s="212">
        <f t="shared" si="97"/>
        <v>0</v>
      </c>
      <c r="M70" s="212">
        <f t="shared" si="97"/>
        <v>0</v>
      </c>
      <c r="N70" s="214">
        <f t="shared" si="97"/>
        <v>23150000000</v>
      </c>
      <c r="O70" s="228">
        <f t="shared" si="97"/>
        <v>23150000000</v>
      </c>
      <c r="P70" s="212">
        <f t="shared" si="97"/>
        <v>0</v>
      </c>
      <c r="Q70" s="212">
        <f t="shared" si="97"/>
        <v>0</v>
      </c>
      <c r="R70" s="212">
        <f t="shared" si="97"/>
        <v>0</v>
      </c>
      <c r="S70" s="212">
        <f t="shared" si="97"/>
        <v>0</v>
      </c>
      <c r="T70" s="212">
        <f t="shared" si="97"/>
        <v>0</v>
      </c>
      <c r="U70" s="214">
        <f t="shared" si="97"/>
        <v>23150000000</v>
      </c>
      <c r="V70" s="228">
        <f t="shared" si="97"/>
        <v>23150000000</v>
      </c>
      <c r="W70" s="212">
        <f t="shared" si="97"/>
        <v>0</v>
      </c>
      <c r="X70" s="212">
        <f t="shared" si="97"/>
        <v>0</v>
      </c>
      <c r="Y70" s="212">
        <f t="shared" si="97"/>
        <v>0</v>
      </c>
      <c r="Z70" s="212">
        <f t="shared" si="97"/>
        <v>0</v>
      </c>
      <c r="AA70" s="212">
        <f t="shared" si="97"/>
        <v>0</v>
      </c>
      <c r="AB70" s="213">
        <f t="shared" si="97"/>
        <v>0</v>
      </c>
      <c r="AC70" s="212">
        <f t="shared" si="97"/>
        <v>0</v>
      </c>
      <c r="AD70" s="212">
        <f t="shared" si="97"/>
        <v>0</v>
      </c>
      <c r="AE70" s="212">
        <f t="shared" si="97"/>
        <v>0</v>
      </c>
      <c r="AF70" s="212">
        <f t="shared" si="97"/>
        <v>0</v>
      </c>
      <c r="AG70" s="212">
        <f t="shared" si="97"/>
        <v>-600000</v>
      </c>
      <c r="AH70" s="214">
        <f t="shared" si="97"/>
        <v>23149400000</v>
      </c>
      <c r="AI70" s="228">
        <f t="shared" si="97"/>
        <v>0</v>
      </c>
      <c r="AJ70" s="212">
        <f t="shared" si="97"/>
        <v>0</v>
      </c>
      <c r="AK70" s="212">
        <f t="shared" si="97"/>
        <v>945316620</v>
      </c>
      <c r="AL70" s="212">
        <f t="shared" si="97"/>
        <v>1270527422</v>
      </c>
      <c r="AM70" s="212">
        <f t="shared" si="97"/>
        <v>940260033</v>
      </c>
      <c r="AN70" s="212">
        <f aca="true" t="shared" si="98" ref="AN70:BK70">AN58</f>
        <v>921662991</v>
      </c>
      <c r="AO70" s="213">
        <f t="shared" si="98"/>
        <v>1396059746</v>
      </c>
      <c r="AP70" s="212">
        <f t="shared" si="98"/>
        <v>1470877286</v>
      </c>
      <c r="AQ70" s="212">
        <f t="shared" si="98"/>
        <v>3137959708</v>
      </c>
      <c r="AR70" s="212">
        <f t="shared" si="98"/>
        <v>1401272888</v>
      </c>
      <c r="AS70" s="212">
        <f t="shared" si="98"/>
        <v>1618658495</v>
      </c>
      <c r="AT70" s="212">
        <f t="shared" si="98"/>
        <v>2962809817</v>
      </c>
      <c r="AU70" s="214">
        <f t="shared" si="98"/>
        <v>16065405006</v>
      </c>
      <c r="AV70" s="212">
        <f t="shared" si="98"/>
        <v>0</v>
      </c>
      <c r="AW70" s="212">
        <f t="shared" si="98"/>
        <v>0</v>
      </c>
      <c r="AX70" s="212">
        <f t="shared" si="98"/>
        <v>945316620</v>
      </c>
      <c r="AY70" s="212">
        <f t="shared" si="98"/>
        <v>1270527422</v>
      </c>
      <c r="AZ70" s="212">
        <f t="shared" si="98"/>
        <v>940260033</v>
      </c>
      <c r="BA70" s="212">
        <f t="shared" si="98"/>
        <v>921662991</v>
      </c>
      <c r="BB70" s="213">
        <f t="shared" si="98"/>
        <v>1396059746</v>
      </c>
      <c r="BC70" s="212">
        <f t="shared" si="98"/>
        <v>1470877286</v>
      </c>
      <c r="BD70" s="212">
        <f t="shared" si="98"/>
        <v>3137959708</v>
      </c>
      <c r="BE70" s="212">
        <f t="shared" si="98"/>
        <v>1401272888</v>
      </c>
      <c r="BF70" s="212">
        <f t="shared" si="98"/>
        <v>1618658495</v>
      </c>
      <c r="BG70" s="212">
        <f t="shared" si="98"/>
        <v>2504221000</v>
      </c>
      <c r="BH70" s="212">
        <f t="shared" si="98"/>
        <v>15606816189</v>
      </c>
      <c r="BI70" s="228">
        <f t="shared" si="98"/>
        <v>600000</v>
      </c>
      <c r="BJ70" s="260">
        <f>BJ58</f>
        <v>7083994994</v>
      </c>
      <c r="BK70" s="214">
        <f t="shared" si="98"/>
        <v>458588817</v>
      </c>
    </row>
    <row r="71" ht="13.5" thickBot="1"/>
    <row r="72" spans="1:63" ht="12.75">
      <c r="A72" s="37"/>
      <c r="B72" s="37"/>
      <c r="C72" s="37"/>
      <c r="D72" s="37"/>
      <c r="E72" s="37"/>
      <c r="F72" s="37"/>
      <c r="G72" s="215" t="s">
        <v>135</v>
      </c>
      <c r="H72" s="229">
        <f aca="true" t="shared" si="99" ref="H72:AM72">H10</f>
        <v>13236242437</v>
      </c>
      <c r="I72" s="216">
        <f t="shared" si="99"/>
        <v>-404393984</v>
      </c>
      <c r="J72" s="216">
        <f t="shared" si="99"/>
        <v>404393984</v>
      </c>
      <c r="K72" s="216">
        <f t="shared" si="99"/>
        <v>0</v>
      </c>
      <c r="L72" s="216">
        <f t="shared" si="99"/>
        <v>0</v>
      </c>
      <c r="M72" s="216">
        <f t="shared" si="99"/>
        <v>1436855077</v>
      </c>
      <c r="N72" s="218">
        <f t="shared" si="99"/>
        <v>14673097514</v>
      </c>
      <c r="O72" s="229">
        <f t="shared" si="99"/>
        <v>13236242437</v>
      </c>
      <c r="P72" s="216">
        <f t="shared" si="99"/>
        <v>-1523196915</v>
      </c>
      <c r="Q72" s="216">
        <f t="shared" si="99"/>
        <v>1523196915</v>
      </c>
      <c r="R72" s="216">
        <f t="shared" si="99"/>
        <v>0</v>
      </c>
      <c r="S72" s="216">
        <f t="shared" si="99"/>
        <v>0</v>
      </c>
      <c r="T72" s="216">
        <f t="shared" si="99"/>
        <v>1436855077</v>
      </c>
      <c r="U72" s="218">
        <f t="shared" si="99"/>
        <v>14673097514</v>
      </c>
      <c r="V72" s="229">
        <f t="shared" si="99"/>
        <v>1009935165</v>
      </c>
      <c r="W72" s="216">
        <f t="shared" si="99"/>
        <v>1393002329</v>
      </c>
      <c r="X72" s="216">
        <f t="shared" si="99"/>
        <v>941416111</v>
      </c>
      <c r="Y72" s="216">
        <f t="shared" si="99"/>
        <v>942294067</v>
      </c>
      <c r="Z72" s="216">
        <f t="shared" si="99"/>
        <v>889657720</v>
      </c>
      <c r="AA72" s="216">
        <f t="shared" si="99"/>
        <v>1244331782</v>
      </c>
      <c r="AB72" s="217">
        <f t="shared" si="99"/>
        <v>883024078</v>
      </c>
      <c r="AC72" s="216">
        <f t="shared" si="99"/>
        <v>910829603</v>
      </c>
      <c r="AD72" s="216">
        <f t="shared" si="99"/>
        <v>782495754</v>
      </c>
      <c r="AE72" s="216">
        <f t="shared" si="99"/>
        <v>698878208</v>
      </c>
      <c r="AF72" s="216">
        <f t="shared" si="99"/>
        <v>994729889</v>
      </c>
      <c r="AG72" s="216">
        <f t="shared" si="99"/>
        <v>2633209045</v>
      </c>
      <c r="AH72" s="218">
        <f t="shared" si="99"/>
        <v>13323803751</v>
      </c>
      <c r="AI72" s="229">
        <f t="shared" si="99"/>
        <v>415077754</v>
      </c>
      <c r="AJ72" s="216">
        <f t="shared" si="99"/>
        <v>967224403</v>
      </c>
      <c r="AK72" s="216">
        <f t="shared" si="99"/>
        <v>857685442</v>
      </c>
      <c r="AL72" s="216">
        <f t="shared" si="99"/>
        <v>940008623</v>
      </c>
      <c r="AM72" s="216">
        <f t="shared" si="99"/>
        <v>1037809083</v>
      </c>
      <c r="AN72" s="216">
        <f aca="true" t="shared" si="100" ref="AN72:BK72">AN10</f>
        <v>1462063305</v>
      </c>
      <c r="AO72" s="217">
        <f t="shared" si="100"/>
        <v>942112680</v>
      </c>
      <c r="AP72" s="216">
        <f t="shared" si="100"/>
        <v>1035003718</v>
      </c>
      <c r="AQ72" s="216">
        <f t="shared" si="100"/>
        <v>897969001</v>
      </c>
      <c r="AR72" s="216">
        <f t="shared" si="100"/>
        <v>801979031</v>
      </c>
      <c r="AS72" s="216">
        <f t="shared" si="100"/>
        <v>1087326879</v>
      </c>
      <c r="AT72" s="216">
        <f t="shared" si="100"/>
        <v>2558587692</v>
      </c>
      <c r="AU72" s="218">
        <f t="shared" si="100"/>
        <v>13002847611</v>
      </c>
      <c r="AV72" s="229">
        <f t="shared" si="100"/>
        <v>415077754</v>
      </c>
      <c r="AW72" s="216">
        <f t="shared" si="100"/>
        <v>967224403</v>
      </c>
      <c r="AX72" s="216">
        <f t="shared" si="100"/>
        <v>857685442</v>
      </c>
      <c r="AY72" s="216">
        <f t="shared" si="100"/>
        <v>940008623</v>
      </c>
      <c r="AZ72" s="216">
        <f t="shared" si="100"/>
        <v>1037809083</v>
      </c>
      <c r="BA72" s="216">
        <f t="shared" si="100"/>
        <v>1462063305</v>
      </c>
      <c r="BB72" s="217">
        <f t="shared" si="100"/>
        <v>942112680</v>
      </c>
      <c r="BC72" s="216">
        <f t="shared" si="100"/>
        <v>1035003718</v>
      </c>
      <c r="BD72" s="216">
        <f t="shared" si="100"/>
        <v>897969001</v>
      </c>
      <c r="BE72" s="216">
        <f t="shared" si="100"/>
        <v>801979031</v>
      </c>
      <c r="BF72" s="216">
        <f t="shared" si="100"/>
        <v>1087326879</v>
      </c>
      <c r="BG72" s="216">
        <f t="shared" si="100"/>
        <v>2459825858</v>
      </c>
      <c r="BH72" s="218">
        <f t="shared" si="100"/>
        <v>12904085777</v>
      </c>
      <c r="BI72" s="229">
        <f t="shared" si="100"/>
        <v>1349293763</v>
      </c>
      <c r="BJ72" s="261">
        <f>BJ10</f>
        <v>320956140</v>
      </c>
      <c r="BK72" s="218">
        <f t="shared" si="100"/>
        <v>98761834</v>
      </c>
    </row>
    <row r="73" spans="1:63" ht="13.5" thickBot="1">
      <c r="A73" s="37"/>
      <c r="B73" s="37"/>
      <c r="C73" s="37"/>
      <c r="D73" s="37"/>
      <c r="E73" s="37"/>
      <c r="F73" s="37"/>
      <c r="G73" s="219" t="s">
        <v>178</v>
      </c>
      <c r="H73" s="230">
        <f aca="true" t="shared" si="101" ref="H73:AM73">H41</f>
        <v>99169612000</v>
      </c>
      <c r="I73" s="220">
        <f t="shared" si="101"/>
        <v>0</v>
      </c>
      <c r="J73" s="220">
        <f t="shared" si="101"/>
        <v>0</v>
      </c>
      <c r="K73" s="220">
        <f t="shared" si="101"/>
        <v>0</v>
      </c>
      <c r="L73" s="220">
        <f t="shared" si="101"/>
        <v>0</v>
      </c>
      <c r="M73" s="220">
        <f t="shared" si="101"/>
        <v>2851644923</v>
      </c>
      <c r="N73" s="222">
        <f t="shared" si="101"/>
        <v>102021256923</v>
      </c>
      <c r="O73" s="230">
        <f t="shared" si="101"/>
        <v>99169612000</v>
      </c>
      <c r="P73" s="220">
        <f t="shared" si="101"/>
        <v>0</v>
      </c>
      <c r="Q73" s="220">
        <f t="shared" si="101"/>
        <v>0</v>
      </c>
      <c r="R73" s="220">
        <f t="shared" si="101"/>
        <v>0</v>
      </c>
      <c r="S73" s="220">
        <f t="shared" si="101"/>
        <v>0</v>
      </c>
      <c r="T73" s="220">
        <f t="shared" si="101"/>
        <v>2851644923</v>
      </c>
      <c r="U73" s="222">
        <f t="shared" si="101"/>
        <v>102021256923</v>
      </c>
      <c r="V73" s="230">
        <f t="shared" si="101"/>
        <v>97739822000</v>
      </c>
      <c r="W73" s="220">
        <f t="shared" si="101"/>
        <v>67458675</v>
      </c>
      <c r="X73" s="220">
        <f t="shared" si="101"/>
        <v>284011469</v>
      </c>
      <c r="Y73" s="220">
        <f t="shared" si="101"/>
        <v>203864661</v>
      </c>
      <c r="Z73" s="220">
        <f t="shared" si="101"/>
        <v>135767202</v>
      </c>
      <c r="AA73" s="220">
        <f t="shared" si="101"/>
        <v>117406500</v>
      </c>
      <c r="AB73" s="221">
        <f t="shared" si="101"/>
        <v>93041638</v>
      </c>
      <c r="AC73" s="220">
        <f t="shared" si="101"/>
        <v>92529979</v>
      </c>
      <c r="AD73" s="220">
        <f t="shared" si="101"/>
        <v>29943542</v>
      </c>
      <c r="AE73" s="220">
        <f t="shared" si="101"/>
        <v>147055766</v>
      </c>
      <c r="AF73" s="220">
        <f t="shared" si="101"/>
        <v>12145357</v>
      </c>
      <c r="AG73" s="220">
        <f t="shared" si="101"/>
        <v>2542780014</v>
      </c>
      <c r="AH73" s="222">
        <f t="shared" si="101"/>
        <v>101465826803</v>
      </c>
      <c r="AI73" s="230">
        <f t="shared" si="101"/>
        <v>0</v>
      </c>
      <c r="AJ73" s="220">
        <f t="shared" si="101"/>
        <v>5254577860</v>
      </c>
      <c r="AK73" s="220">
        <f t="shared" si="101"/>
        <v>7795111655</v>
      </c>
      <c r="AL73" s="220">
        <f t="shared" si="101"/>
        <v>6881906304</v>
      </c>
      <c r="AM73" s="220">
        <f t="shared" si="101"/>
        <v>6278766408</v>
      </c>
      <c r="AN73" s="220">
        <f aca="true" t="shared" si="102" ref="AN73:BK73">AN41</f>
        <v>4890119683</v>
      </c>
      <c r="AO73" s="221">
        <f t="shared" si="102"/>
        <v>8985812160</v>
      </c>
      <c r="AP73" s="220">
        <f t="shared" si="102"/>
        <v>8732337083</v>
      </c>
      <c r="AQ73" s="220">
        <f t="shared" si="102"/>
        <v>11741185939</v>
      </c>
      <c r="AR73" s="220">
        <f t="shared" si="102"/>
        <v>10120651992</v>
      </c>
      <c r="AS73" s="220">
        <f t="shared" si="102"/>
        <v>4998151470</v>
      </c>
      <c r="AT73" s="220">
        <f t="shared" si="102"/>
        <v>13693665613</v>
      </c>
      <c r="AU73" s="222">
        <f t="shared" si="102"/>
        <v>89372286167</v>
      </c>
      <c r="AV73" s="230">
        <f t="shared" si="102"/>
        <v>0</v>
      </c>
      <c r="AW73" s="220">
        <f t="shared" si="102"/>
        <v>5254577860</v>
      </c>
      <c r="AX73" s="220">
        <f t="shared" si="102"/>
        <v>7795111655</v>
      </c>
      <c r="AY73" s="220">
        <f t="shared" si="102"/>
        <v>6881906304</v>
      </c>
      <c r="AZ73" s="220">
        <f t="shared" si="102"/>
        <v>6278766408</v>
      </c>
      <c r="BA73" s="220">
        <f t="shared" si="102"/>
        <v>4890119683</v>
      </c>
      <c r="BB73" s="221">
        <f t="shared" si="102"/>
        <v>8985812160</v>
      </c>
      <c r="BC73" s="220">
        <f t="shared" si="102"/>
        <v>8732337083</v>
      </c>
      <c r="BD73" s="220">
        <f t="shared" si="102"/>
        <v>11741185939</v>
      </c>
      <c r="BE73" s="220">
        <f t="shared" si="102"/>
        <v>10120651992</v>
      </c>
      <c r="BF73" s="220">
        <f t="shared" si="102"/>
        <v>4998151470</v>
      </c>
      <c r="BG73" s="220">
        <f t="shared" si="102"/>
        <v>12981761942</v>
      </c>
      <c r="BH73" s="222">
        <f t="shared" si="102"/>
        <v>88660382496</v>
      </c>
      <c r="BI73" s="230">
        <f t="shared" si="102"/>
        <v>555430120</v>
      </c>
      <c r="BJ73" s="262">
        <f>BJ41</f>
        <v>12093540636</v>
      </c>
      <c r="BK73" s="222">
        <f t="shared" si="102"/>
        <v>711903671</v>
      </c>
    </row>
    <row r="74" ht="13.5" thickBot="1"/>
    <row r="75" spans="1:63" ht="13.5" thickBot="1">
      <c r="A75" s="37"/>
      <c r="B75" s="37"/>
      <c r="C75" s="37"/>
      <c r="D75" s="37"/>
      <c r="E75" s="37"/>
      <c r="F75" s="37"/>
      <c r="G75" s="223" t="s">
        <v>214</v>
      </c>
      <c r="H75" s="231">
        <f>SUM(H69:H73)/2</f>
        <v>112405854437</v>
      </c>
      <c r="I75" s="224">
        <f aca="true" t="shared" si="103" ref="I75:X75">SUM(I69:I73)/2</f>
        <v>-404393984</v>
      </c>
      <c r="J75" s="224">
        <f t="shared" si="103"/>
        <v>404393984</v>
      </c>
      <c r="K75" s="224">
        <f t="shared" si="103"/>
        <v>0</v>
      </c>
      <c r="L75" s="224">
        <f t="shared" si="103"/>
        <v>0</v>
      </c>
      <c r="M75" s="224">
        <f t="shared" si="103"/>
        <v>4288500000</v>
      </c>
      <c r="N75" s="226">
        <f t="shared" si="103"/>
        <v>116694354437</v>
      </c>
      <c r="O75" s="231">
        <f t="shared" si="103"/>
        <v>112405854437</v>
      </c>
      <c r="P75" s="224">
        <f t="shared" si="103"/>
        <v>-1523196915</v>
      </c>
      <c r="Q75" s="224">
        <f t="shared" si="103"/>
        <v>1523196915</v>
      </c>
      <c r="R75" s="224">
        <f t="shared" si="103"/>
        <v>0</v>
      </c>
      <c r="S75" s="224">
        <f t="shared" si="103"/>
        <v>0</v>
      </c>
      <c r="T75" s="224">
        <f t="shared" si="103"/>
        <v>4288500000</v>
      </c>
      <c r="U75" s="226">
        <f t="shared" si="103"/>
        <v>116694354437</v>
      </c>
      <c r="V75" s="231">
        <f t="shared" si="103"/>
        <v>98749757165</v>
      </c>
      <c r="W75" s="224">
        <f t="shared" si="103"/>
        <v>1460461004</v>
      </c>
      <c r="X75" s="224">
        <f t="shared" si="103"/>
        <v>1225427580</v>
      </c>
      <c r="Y75" s="224">
        <f aca="true" t="shared" si="104" ref="Y75:AN75">SUM(Y69:Y73)/2</f>
        <v>1146158728</v>
      </c>
      <c r="Z75" s="224">
        <f t="shared" si="104"/>
        <v>1025424922</v>
      </c>
      <c r="AA75" s="224">
        <f t="shared" si="104"/>
        <v>1361738282</v>
      </c>
      <c r="AB75" s="225">
        <f t="shared" si="104"/>
        <v>976065716</v>
      </c>
      <c r="AC75" s="224">
        <f t="shared" si="104"/>
        <v>1003359582</v>
      </c>
      <c r="AD75" s="224">
        <f t="shared" si="104"/>
        <v>812439296</v>
      </c>
      <c r="AE75" s="224">
        <f t="shared" si="104"/>
        <v>845933974</v>
      </c>
      <c r="AF75" s="224">
        <f t="shared" si="104"/>
        <v>1006875246</v>
      </c>
      <c r="AG75" s="224">
        <f t="shared" si="104"/>
        <v>5175989059</v>
      </c>
      <c r="AH75" s="226">
        <f t="shared" si="104"/>
        <v>114789630554</v>
      </c>
      <c r="AI75" s="231">
        <f t="shared" si="104"/>
        <v>415077754</v>
      </c>
      <c r="AJ75" s="224">
        <f t="shared" si="104"/>
        <v>6221802263</v>
      </c>
      <c r="AK75" s="224">
        <f t="shared" si="104"/>
        <v>8652797097</v>
      </c>
      <c r="AL75" s="224">
        <f t="shared" si="104"/>
        <v>7821914927</v>
      </c>
      <c r="AM75" s="224">
        <f t="shared" si="104"/>
        <v>7316575491</v>
      </c>
      <c r="AN75" s="224">
        <f t="shared" si="104"/>
        <v>6352182988</v>
      </c>
      <c r="AO75" s="225">
        <f aca="true" t="shared" si="105" ref="AO75:AU75">SUM(AO69:AO73)/2</f>
        <v>9927924840</v>
      </c>
      <c r="AP75" s="224">
        <f t="shared" si="105"/>
        <v>9767340801</v>
      </c>
      <c r="AQ75" s="224">
        <f t="shared" si="105"/>
        <v>12639154940</v>
      </c>
      <c r="AR75" s="224">
        <f t="shared" si="105"/>
        <v>10922631023</v>
      </c>
      <c r="AS75" s="224">
        <f t="shared" si="105"/>
        <v>6085478349</v>
      </c>
      <c r="AT75" s="224">
        <f t="shared" si="105"/>
        <v>16252253305</v>
      </c>
      <c r="AU75" s="226">
        <f t="shared" si="105"/>
        <v>102375133778</v>
      </c>
      <c r="AV75" s="231">
        <f aca="true" t="shared" si="106" ref="AV75:BA75">SUM(AV69:AV73)/2</f>
        <v>415077754</v>
      </c>
      <c r="AW75" s="224">
        <f t="shared" si="106"/>
        <v>6221802263</v>
      </c>
      <c r="AX75" s="224">
        <f t="shared" si="106"/>
        <v>8652797097</v>
      </c>
      <c r="AY75" s="224">
        <f t="shared" si="106"/>
        <v>7821914927</v>
      </c>
      <c r="AZ75" s="224">
        <f t="shared" si="106"/>
        <v>7316575491</v>
      </c>
      <c r="BA75" s="224">
        <f t="shared" si="106"/>
        <v>6352182988</v>
      </c>
      <c r="BB75" s="225">
        <f aca="true" t="shared" si="107" ref="BB75:BK75">SUM(BB69:BB73)/2</f>
        <v>9927924840</v>
      </c>
      <c r="BC75" s="224">
        <f t="shared" si="107"/>
        <v>9767340801</v>
      </c>
      <c r="BD75" s="224">
        <f t="shared" si="107"/>
        <v>12639154940</v>
      </c>
      <c r="BE75" s="224">
        <f t="shared" si="107"/>
        <v>10922631023</v>
      </c>
      <c r="BF75" s="224">
        <f t="shared" si="107"/>
        <v>6085478349</v>
      </c>
      <c r="BG75" s="224">
        <f t="shared" si="107"/>
        <v>15441587800</v>
      </c>
      <c r="BH75" s="226">
        <f t="shared" si="107"/>
        <v>101564468273</v>
      </c>
      <c r="BI75" s="231">
        <f t="shared" si="107"/>
        <v>1904723883</v>
      </c>
      <c r="BJ75" s="263">
        <f>SUM(BJ69:BJ73)/2</f>
        <v>12414496776</v>
      </c>
      <c r="BK75" s="226">
        <f t="shared" si="107"/>
        <v>810665505</v>
      </c>
    </row>
  </sheetData>
  <printOptions horizontalCentered="1" verticalCentered="1"/>
  <pageMargins left="0.4724409448818898" right="0.4724409448818898" top="0.4724409448818898" bottom="0.7086614173228347" header="0" footer="0"/>
  <pageSetup fitToHeight="2" horizontalDpi="600" verticalDpi="600" orientation="landscape" paperSize="9" scale="45" r:id="rId2"/>
  <headerFooter alignWithMargins="0">
    <oddHeader>&amp;LGPR-&amp;D&amp;C&amp;"Arial,Bold"&amp;16INFORME EJECUCIÓN DE GASTOS - VIGENCIA&amp;RPág. &amp;P/&amp;N</oddHeader>
    <oddFooter xml:space="preserve">&amp;L&amp;14JORGE NELSON GAITÁN LEÓN
Jefe de Presupuesto&amp;C&amp;14LUZ MARINA CHICA ARANGO
Directora General &amp;R&amp;14HUMBERTO RAMIREZ GARCIA
 Subdirector Financiero </oddFooter>
  </headerFooter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53"/>
  <sheetViews>
    <sheetView showGridLines="0" zoomScale="75" zoomScaleNormal="75" workbookViewId="0" topLeftCell="A1">
      <selection activeCell="A1" sqref="A1"/>
    </sheetView>
  </sheetViews>
  <sheetFormatPr defaultColWidth="18.7109375" defaultRowHeight="19.5" customHeight="1"/>
  <cols>
    <col min="1" max="1" width="3.140625" style="313" customWidth="1"/>
    <col min="2" max="2" width="3.00390625" style="313" customWidth="1"/>
    <col min="3" max="3" width="6.140625" style="313" customWidth="1"/>
    <col min="4" max="4" width="5.8515625" style="313" customWidth="1"/>
    <col min="5" max="5" width="6.140625" style="313" customWidth="1"/>
    <col min="6" max="6" width="5.421875" style="313" customWidth="1"/>
    <col min="7" max="7" width="3.8515625" style="313" customWidth="1"/>
    <col min="8" max="8" width="42.57421875" style="313" customWidth="1"/>
    <col min="9" max="9" width="17.7109375" style="313" customWidth="1"/>
    <col min="10" max="21" width="17.7109375" style="313" hidden="1" customWidth="1"/>
    <col min="22" max="24" width="17.7109375" style="313" customWidth="1"/>
    <col min="25" max="36" width="17.7109375" style="313" hidden="1" customWidth="1"/>
    <col min="37" max="38" width="17.7109375" style="313" customWidth="1"/>
    <col min="39" max="16384" width="18.7109375" style="313" customWidth="1"/>
  </cols>
  <sheetData>
    <row r="1" spans="1:38" ht="19.5" customHeight="1" thickBot="1">
      <c r="A1" s="308"/>
      <c r="B1" s="407"/>
      <c r="C1" s="309"/>
      <c r="D1" s="310"/>
      <c r="E1" s="310"/>
      <c r="F1" s="310"/>
      <c r="G1" s="310"/>
      <c r="H1" s="109" t="s">
        <v>1</v>
      </c>
      <c r="I1" s="237" t="s">
        <v>2</v>
      </c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2"/>
      <c r="W1" s="312"/>
      <c r="X1" s="96" t="s">
        <v>3</v>
      </c>
      <c r="Y1" s="311" t="s">
        <v>4</v>
      </c>
      <c r="Z1" s="311" t="s">
        <v>5</v>
      </c>
      <c r="AA1" s="311" t="s">
        <v>6</v>
      </c>
      <c r="AB1" s="311" t="s">
        <v>7</v>
      </c>
      <c r="AC1" s="311" t="s">
        <v>8</v>
      </c>
      <c r="AD1" s="311" t="s">
        <v>9</v>
      </c>
      <c r="AE1" s="311" t="s">
        <v>10</v>
      </c>
      <c r="AF1" s="311" t="s">
        <v>11</v>
      </c>
      <c r="AG1" s="311" t="s">
        <v>12</v>
      </c>
      <c r="AH1" s="311" t="s">
        <v>13</v>
      </c>
      <c r="AI1" s="311" t="s">
        <v>14</v>
      </c>
      <c r="AJ1" s="311" t="s">
        <v>15</v>
      </c>
      <c r="AK1" s="199" t="s">
        <v>17</v>
      </c>
      <c r="AL1" s="200"/>
    </row>
    <row r="2" spans="1:38" ht="19.5" customHeight="1">
      <c r="A2" s="417"/>
      <c r="B2" s="427" t="s">
        <v>0</v>
      </c>
      <c r="C2" s="418"/>
      <c r="D2" s="419"/>
      <c r="E2" s="419"/>
      <c r="F2" s="419"/>
      <c r="G2" s="419"/>
      <c r="H2" s="420"/>
      <c r="I2" s="421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3"/>
      <c r="W2" s="423"/>
      <c r="X2" s="424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5"/>
      <c r="AL2" s="426"/>
    </row>
    <row r="3" spans="1:38" ht="19.5" customHeight="1" thickBot="1">
      <c r="A3" s="314"/>
      <c r="B3" s="428" t="s">
        <v>18</v>
      </c>
      <c r="C3" s="315"/>
      <c r="D3" s="316"/>
      <c r="E3" s="316"/>
      <c r="F3" s="316"/>
      <c r="G3" s="316"/>
      <c r="H3" s="113" t="s">
        <v>215</v>
      </c>
      <c r="I3" s="238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8"/>
      <c r="W3" s="318"/>
      <c r="X3" s="97" t="s">
        <v>20</v>
      </c>
      <c r="Y3" s="319" t="s">
        <v>21</v>
      </c>
      <c r="Z3" s="319">
        <v>2001</v>
      </c>
      <c r="AA3" s="319">
        <v>2001</v>
      </c>
      <c r="AB3" s="319">
        <v>2001</v>
      </c>
      <c r="AC3" s="319">
        <v>2001</v>
      </c>
      <c r="AD3" s="319">
        <v>2001</v>
      </c>
      <c r="AE3" s="319">
        <v>2001</v>
      </c>
      <c r="AF3" s="319">
        <v>2001</v>
      </c>
      <c r="AG3" s="319">
        <v>2001</v>
      </c>
      <c r="AH3" s="319">
        <v>2001</v>
      </c>
      <c r="AI3" s="319">
        <v>2001</v>
      </c>
      <c r="AJ3" s="319">
        <v>2001</v>
      </c>
      <c r="AK3" s="201">
        <f ca="1">TODAY()-4</f>
        <v>37833</v>
      </c>
      <c r="AL3" s="202"/>
    </row>
    <row r="4" spans="1:38" ht="19.5" customHeight="1" thickBot="1" thickTop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</row>
    <row r="5" spans="1:5" ht="19.5" customHeight="1" thickBot="1">
      <c r="A5" s="459" t="s">
        <v>216</v>
      </c>
      <c r="B5" s="457"/>
      <c r="C5" s="457"/>
      <c r="D5" s="457"/>
      <c r="E5" s="458"/>
    </row>
    <row r="6" spans="1:38" ht="19.5" customHeight="1" thickBot="1">
      <c r="A6" s="321" t="s">
        <v>132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</row>
    <row r="7" spans="1:38" ht="19.5" customHeight="1" thickBot="1" thickTop="1">
      <c r="A7" s="323" t="s">
        <v>98</v>
      </c>
      <c r="B7" s="324"/>
      <c r="C7" s="324"/>
      <c r="D7" s="324"/>
      <c r="E7" s="324"/>
      <c r="F7" s="324"/>
      <c r="G7" s="324"/>
      <c r="H7" s="325"/>
      <c r="I7" s="1" t="s">
        <v>217</v>
      </c>
      <c r="J7" s="1" t="s">
        <v>217</v>
      </c>
      <c r="K7" s="1" t="s">
        <v>217</v>
      </c>
      <c r="L7" s="1" t="s">
        <v>217</v>
      </c>
      <c r="M7" s="1" t="s">
        <v>217</v>
      </c>
      <c r="N7" s="1" t="s">
        <v>217</v>
      </c>
      <c r="O7" s="1" t="s">
        <v>217</v>
      </c>
      <c r="P7" s="1" t="s">
        <v>217</v>
      </c>
      <c r="Q7" s="1" t="s">
        <v>217</v>
      </c>
      <c r="R7" s="1" t="s">
        <v>217</v>
      </c>
      <c r="S7" s="1" t="s">
        <v>217</v>
      </c>
      <c r="T7" s="1" t="s">
        <v>217</v>
      </c>
      <c r="U7" s="1" t="s">
        <v>217</v>
      </c>
      <c r="V7" s="326" t="s">
        <v>23</v>
      </c>
      <c r="W7" s="327"/>
      <c r="X7" s="1" t="s">
        <v>217</v>
      </c>
      <c r="Y7" s="1" t="s">
        <v>103</v>
      </c>
      <c r="Z7" s="1" t="s">
        <v>103</v>
      </c>
      <c r="AA7" s="1" t="s">
        <v>103</v>
      </c>
      <c r="AB7" s="1" t="s">
        <v>103</v>
      </c>
      <c r="AC7" s="1" t="s">
        <v>103</v>
      </c>
      <c r="AD7" s="1" t="s">
        <v>103</v>
      </c>
      <c r="AE7" s="1" t="s">
        <v>103</v>
      </c>
      <c r="AF7" s="1" t="s">
        <v>103</v>
      </c>
      <c r="AG7" s="1" t="s">
        <v>103</v>
      </c>
      <c r="AH7" s="1" t="s">
        <v>103</v>
      </c>
      <c r="AI7" s="1" t="s">
        <v>103</v>
      </c>
      <c r="AJ7" s="1" t="s">
        <v>103</v>
      </c>
      <c r="AK7" s="328" t="s">
        <v>16</v>
      </c>
      <c r="AL7" s="329" t="s">
        <v>218</v>
      </c>
    </row>
    <row r="8" spans="1:38" ht="19.5" customHeight="1" thickTop="1">
      <c r="A8" s="369" t="s">
        <v>106</v>
      </c>
      <c r="B8" s="370" t="s">
        <v>107</v>
      </c>
      <c r="C8" s="370" t="s">
        <v>219</v>
      </c>
      <c r="D8" s="370" t="s">
        <v>220</v>
      </c>
      <c r="E8" s="370" t="s">
        <v>221</v>
      </c>
      <c r="F8" s="370" t="s">
        <v>222</v>
      </c>
      <c r="G8" s="370" t="s">
        <v>111</v>
      </c>
      <c r="H8" s="330" t="s">
        <v>28</v>
      </c>
      <c r="I8" s="331" t="s">
        <v>223</v>
      </c>
      <c r="J8" s="331" t="s">
        <v>224</v>
      </c>
      <c r="K8" s="331" t="s">
        <v>225</v>
      </c>
      <c r="L8" s="331" t="s">
        <v>226</v>
      </c>
      <c r="M8" s="331" t="s">
        <v>227</v>
      </c>
      <c r="N8" s="331" t="s">
        <v>228</v>
      </c>
      <c r="O8" s="331" t="s">
        <v>229</v>
      </c>
      <c r="P8" s="331" t="s">
        <v>230</v>
      </c>
      <c r="Q8" s="331" t="s">
        <v>231</v>
      </c>
      <c r="R8" s="331" t="s">
        <v>232</v>
      </c>
      <c r="S8" s="331" t="s">
        <v>233</v>
      </c>
      <c r="T8" s="331" t="s">
        <v>234</v>
      </c>
      <c r="U8" s="331" t="s">
        <v>235</v>
      </c>
      <c r="V8" s="332">
        <v>-3</v>
      </c>
      <c r="W8" s="333"/>
      <c r="X8" s="331" t="s">
        <v>16</v>
      </c>
      <c r="Y8" s="331" t="s">
        <v>224</v>
      </c>
      <c r="Z8" s="331" t="s">
        <v>225</v>
      </c>
      <c r="AA8" s="331" t="s">
        <v>226</v>
      </c>
      <c r="AB8" s="331" t="s">
        <v>227</v>
      </c>
      <c r="AC8" s="331" t="s">
        <v>228</v>
      </c>
      <c r="AD8" s="331" t="s">
        <v>229</v>
      </c>
      <c r="AE8" s="331" t="s">
        <v>230</v>
      </c>
      <c r="AF8" s="331" t="s">
        <v>231</v>
      </c>
      <c r="AG8" s="331" t="s">
        <v>232</v>
      </c>
      <c r="AH8" s="331" t="s">
        <v>233</v>
      </c>
      <c r="AI8" s="331" t="s">
        <v>234</v>
      </c>
      <c r="AJ8" s="331" t="s">
        <v>235</v>
      </c>
      <c r="AK8" s="334" t="s">
        <v>103</v>
      </c>
      <c r="AL8" s="335" t="s">
        <v>16</v>
      </c>
    </row>
    <row r="9" spans="1:38" ht="19.5" customHeight="1" thickBot="1">
      <c r="A9" s="371"/>
      <c r="B9" s="372"/>
      <c r="C9" s="372" t="s">
        <v>116</v>
      </c>
      <c r="D9" s="372" t="s">
        <v>117</v>
      </c>
      <c r="E9" s="372" t="s">
        <v>118</v>
      </c>
      <c r="F9" s="372"/>
      <c r="G9" s="372"/>
      <c r="H9" s="336"/>
      <c r="I9" s="2">
        <v>-1</v>
      </c>
      <c r="J9" s="337" t="s">
        <v>37</v>
      </c>
      <c r="K9" s="337" t="s">
        <v>37</v>
      </c>
      <c r="L9" s="337" t="s">
        <v>37</v>
      </c>
      <c r="M9" s="337" t="s">
        <v>37</v>
      </c>
      <c r="N9" s="337" t="s">
        <v>37</v>
      </c>
      <c r="O9" s="337" t="s">
        <v>37</v>
      </c>
      <c r="P9" s="337" t="s">
        <v>37</v>
      </c>
      <c r="Q9" s="337" t="s">
        <v>37</v>
      </c>
      <c r="R9" s="337" t="s">
        <v>37</v>
      </c>
      <c r="S9" s="337" t="s">
        <v>37</v>
      </c>
      <c r="T9" s="337" t="s">
        <v>37</v>
      </c>
      <c r="U9" s="337" t="s">
        <v>37</v>
      </c>
      <c r="V9" s="338" t="s">
        <v>236</v>
      </c>
      <c r="W9" s="338" t="s">
        <v>237</v>
      </c>
      <c r="X9" s="2" t="s">
        <v>238</v>
      </c>
      <c r="Y9" s="2">
        <v>-5</v>
      </c>
      <c r="Z9" s="2">
        <v>-5</v>
      </c>
      <c r="AA9" s="2">
        <v>-5</v>
      </c>
      <c r="AB9" s="2">
        <v>-5</v>
      </c>
      <c r="AC9" s="2">
        <v>-5</v>
      </c>
      <c r="AD9" s="2">
        <v>-5</v>
      </c>
      <c r="AE9" s="2">
        <v>-5</v>
      </c>
      <c r="AF9" s="2">
        <v>-5</v>
      </c>
      <c r="AG9" s="2">
        <v>-5</v>
      </c>
      <c r="AH9" s="2">
        <v>-5</v>
      </c>
      <c r="AI9" s="2">
        <v>-5</v>
      </c>
      <c r="AJ9" s="2">
        <v>-5</v>
      </c>
      <c r="AK9" s="2" t="s">
        <v>239</v>
      </c>
      <c r="AL9" s="339" t="s">
        <v>240</v>
      </c>
    </row>
    <row r="10" spans="1:38" s="342" customFormat="1" ht="19.5" customHeight="1" thickBot="1" thickTop="1">
      <c r="A10" s="340"/>
      <c r="B10" s="340"/>
      <c r="C10" s="340"/>
      <c r="D10" s="340"/>
      <c r="E10" s="340"/>
      <c r="F10" s="340"/>
      <c r="G10" s="340"/>
      <c r="H10" s="341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1"/>
      <c r="W10" s="341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1"/>
      <c r="AL10" s="340"/>
    </row>
    <row r="11" spans="1:38" s="387" customFormat="1" ht="24.75" customHeight="1" thickBot="1" thickTop="1">
      <c r="A11" s="383" t="s">
        <v>133</v>
      </c>
      <c r="B11" s="384" t="s">
        <v>136</v>
      </c>
      <c r="C11" s="384"/>
      <c r="D11" s="384"/>
      <c r="E11" s="384"/>
      <c r="F11" s="384"/>
      <c r="G11" s="384"/>
      <c r="H11" s="385" t="s">
        <v>241</v>
      </c>
      <c r="I11" s="384">
        <f>SUM(I12:I15)</f>
        <v>14673097514</v>
      </c>
      <c r="J11" s="384">
        <f aca="true" t="shared" si="0" ref="J11:Y11">SUM(J12:J15)</f>
        <v>415077754</v>
      </c>
      <c r="K11" s="384">
        <f t="shared" si="0"/>
        <v>967224403</v>
      </c>
      <c r="L11" s="384">
        <f t="shared" si="0"/>
        <v>857685442</v>
      </c>
      <c r="M11" s="384">
        <f t="shared" si="0"/>
        <v>940406638</v>
      </c>
      <c r="N11" s="384">
        <f t="shared" si="0"/>
        <v>1037809083</v>
      </c>
      <c r="O11" s="384">
        <f t="shared" si="0"/>
        <v>2071761182</v>
      </c>
      <c r="P11" s="384">
        <f t="shared" si="0"/>
        <v>1133728551</v>
      </c>
      <c r="Q11" s="384">
        <f t="shared" si="0"/>
        <v>1391657344</v>
      </c>
      <c r="R11" s="384">
        <f t="shared" si="0"/>
        <v>1125663165</v>
      </c>
      <c r="S11" s="384">
        <f t="shared" si="0"/>
        <v>843137915</v>
      </c>
      <c r="T11" s="384">
        <f t="shared" si="0"/>
        <v>804734093</v>
      </c>
      <c r="U11" s="384">
        <f t="shared" si="0"/>
        <v>3084211944</v>
      </c>
      <c r="V11" s="381">
        <f t="shared" si="0"/>
        <v>0</v>
      </c>
      <c r="W11" s="381">
        <f t="shared" si="0"/>
        <v>0</v>
      </c>
      <c r="X11" s="384">
        <f t="shared" si="0"/>
        <v>14673097514</v>
      </c>
      <c r="Y11" s="384">
        <f t="shared" si="0"/>
        <v>415077754</v>
      </c>
      <c r="Z11" s="384">
        <f aca="true" t="shared" si="1" ref="Z11:AL11">SUM(Z12:Z15)</f>
        <v>967224403</v>
      </c>
      <c r="AA11" s="384">
        <f t="shared" si="1"/>
        <v>857685442</v>
      </c>
      <c r="AB11" s="384">
        <f t="shared" si="1"/>
        <v>940008623</v>
      </c>
      <c r="AC11" s="384">
        <f t="shared" si="1"/>
        <v>1037809083</v>
      </c>
      <c r="AD11" s="384">
        <f t="shared" si="1"/>
        <v>1462063305</v>
      </c>
      <c r="AE11" s="384">
        <f t="shared" si="1"/>
        <v>942112680</v>
      </c>
      <c r="AF11" s="384">
        <f t="shared" si="1"/>
        <v>1035003718</v>
      </c>
      <c r="AG11" s="384">
        <f t="shared" si="1"/>
        <v>897969001</v>
      </c>
      <c r="AH11" s="384">
        <f t="shared" si="1"/>
        <v>801979031</v>
      </c>
      <c r="AI11" s="384">
        <f t="shared" si="1"/>
        <v>1087326879</v>
      </c>
      <c r="AJ11" s="384">
        <f t="shared" si="1"/>
        <v>2459825858</v>
      </c>
      <c r="AK11" s="381">
        <f t="shared" si="1"/>
        <v>12904085777</v>
      </c>
      <c r="AL11" s="386">
        <f t="shared" si="1"/>
        <v>1769011737</v>
      </c>
    </row>
    <row r="12" spans="1:38" ht="24.75" customHeight="1" thickTop="1">
      <c r="A12" s="343" t="s">
        <v>133</v>
      </c>
      <c r="B12" s="344" t="s">
        <v>136</v>
      </c>
      <c r="C12" s="412" t="s">
        <v>137</v>
      </c>
      <c r="D12" s="344" t="s">
        <v>242</v>
      </c>
      <c r="E12" s="344"/>
      <c r="F12" s="344"/>
      <c r="G12" s="344"/>
      <c r="H12" s="345" t="s">
        <v>243</v>
      </c>
      <c r="I12" s="377">
        <f>SUM(J12:W12)</f>
        <v>9769806598</v>
      </c>
      <c r="J12" s="344">
        <v>359361764</v>
      </c>
      <c r="K12" s="344">
        <v>690377224</v>
      </c>
      <c r="L12" s="344">
        <v>580452921</v>
      </c>
      <c r="M12" s="344">
        <v>660117682</v>
      </c>
      <c r="N12" s="344">
        <v>629044105</v>
      </c>
      <c r="O12" s="344">
        <v>1461163291</v>
      </c>
      <c r="P12" s="344">
        <v>729728951</v>
      </c>
      <c r="Q12" s="344">
        <v>726992344</v>
      </c>
      <c r="R12" s="344">
        <v>725202165</v>
      </c>
      <c r="S12" s="344">
        <v>725019691</v>
      </c>
      <c r="T12" s="344">
        <v>722807634</v>
      </c>
      <c r="U12" s="344">
        <v>1759538826</v>
      </c>
      <c r="V12" s="346">
        <v>0</v>
      </c>
      <c r="W12" s="346">
        <v>0</v>
      </c>
      <c r="X12" s="405">
        <f>SUM($J12:U12,V12:W12)</f>
        <v>9769806598</v>
      </c>
      <c r="Y12" s="344">
        <f>GASTOS!AV11</f>
        <v>359361764</v>
      </c>
      <c r="Z12" s="344">
        <f>GASTOS!AW11</f>
        <v>690377224</v>
      </c>
      <c r="AA12" s="344">
        <f>GASTOS!AX11</f>
        <v>580452921</v>
      </c>
      <c r="AB12" s="344">
        <f>GASTOS!AY11</f>
        <v>660117682</v>
      </c>
      <c r="AC12" s="344">
        <f>GASTOS!AZ11</f>
        <v>629044105</v>
      </c>
      <c r="AD12" s="344">
        <f>GASTOS!BA11</f>
        <v>1054156786</v>
      </c>
      <c r="AE12" s="344">
        <f>GASTOS!BB11</f>
        <v>733693135</v>
      </c>
      <c r="AF12" s="344">
        <f>GASTOS!BC11</f>
        <v>687942147</v>
      </c>
      <c r="AG12" s="344">
        <f>GASTOS!BD11</f>
        <v>613094537</v>
      </c>
      <c r="AH12" s="344">
        <f>GASTOS!BE11</f>
        <v>560758795</v>
      </c>
      <c r="AI12" s="344">
        <f>GASTOS!BF11</f>
        <v>687754076</v>
      </c>
      <c r="AJ12" s="344">
        <f>GASTOS!BG11</f>
        <v>1731068268</v>
      </c>
      <c r="AK12" s="408">
        <f>SUM(Y12:AJ12)</f>
        <v>8987821440</v>
      </c>
      <c r="AL12" s="379">
        <f>X12-AK12</f>
        <v>781985158</v>
      </c>
    </row>
    <row r="13" spans="1:38" ht="24.75" customHeight="1">
      <c r="A13" s="347" t="s">
        <v>133</v>
      </c>
      <c r="B13" s="348" t="s">
        <v>136</v>
      </c>
      <c r="C13" s="413" t="s">
        <v>142</v>
      </c>
      <c r="D13" s="349" t="s">
        <v>242</v>
      </c>
      <c r="E13" s="349"/>
      <c r="F13" s="349"/>
      <c r="G13" s="349"/>
      <c r="H13" s="350" t="s">
        <v>244</v>
      </c>
      <c r="I13" s="378">
        <f>SUM(J13:W13)</f>
        <v>4230866428</v>
      </c>
      <c r="J13" s="349">
        <v>55715990</v>
      </c>
      <c r="K13" s="349">
        <v>255427758</v>
      </c>
      <c r="L13" s="349">
        <v>277232521</v>
      </c>
      <c r="M13" s="349">
        <v>280288956</v>
      </c>
      <c r="N13" s="349">
        <v>408764978</v>
      </c>
      <c r="O13" s="349">
        <v>604220000</v>
      </c>
      <c r="P13" s="349">
        <v>383092000</v>
      </c>
      <c r="Q13" s="349">
        <v>389910000</v>
      </c>
      <c r="R13" s="349">
        <v>391868000</v>
      </c>
      <c r="S13" s="349">
        <v>110036536</v>
      </c>
      <c r="T13" s="349">
        <v>81926459</v>
      </c>
      <c r="U13" s="349">
        <v>992383230</v>
      </c>
      <c r="V13" s="351">
        <v>0</v>
      </c>
      <c r="W13" s="351">
        <v>0</v>
      </c>
      <c r="X13" s="406">
        <f>SUM($J13:U13,V13:W13)</f>
        <v>4230866428</v>
      </c>
      <c r="Y13" s="349">
        <f>GASTOS!AV24</f>
        <v>55715990</v>
      </c>
      <c r="Z13" s="349">
        <f>GASTOS!AW24</f>
        <v>255427758</v>
      </c>
      <c r="AA13" s="349">
        <f>GASTOS!AX24</f>
        <v>277232521</v>
      </c>
      <c r="AB13" s="349">
        <f>GASTOS!AY24</f>
        <v>280288956</v>
      </c>
      <c r="AC13" s="349">
        <f>GASTOS!AZ24</f>
        <v>408764978</v>
      </c>
      <c r="AD13" s="349">
        <f>GASTOS!BA24</f>
        <v>400930613</v>
      </c>
      <c r="AE13" s="349">
        <f>GASTOS!BB24</f>
        <v>208419545</v>
      </c>
      <c r="AF13" s="349">
        <f>GASTOS!BC24</f>
        <v>347061571</v>
      </c>
      <c r="AG13" s="349">
        <f>GASTOS!BD24</f>
        <v>277639432</v>
      </c>
      <c r="AH13" s="349">
        <f>GASTOS!BE24</f>
        <v>241220236</v>
      </c>
      <c r="AI13" s="349">
        <f>GASTOS!BF24</f>
        <v>190687327</v>
      </c>
      <c r="AJ13" s="349">
        <f>GASTOS!BG24</f>
        <v>728757590</v>
      </c>
      <c r="AK13" s="409">
        <f>SUM(Y13:AJ13)</f>
        <v>3672146517</v>
      </c>
      <c r="AL13" s="380">
        <f>X13-AK13</f>
        <v>558719911</v>
      </c>
    </row>
    <row r="14" spans="1:38" ht="24.75" customHeight="1">
      <c r="A14" s="347" t="s">
        <v>133</v>
      </c>
      <c r="B14" s="348" t="s">
        <v>136</v>
      </c>
      <c r="C14" s="413" t="s">
        <v>144</v>
      </c>
      <c r="D14" s="349" t="s">
        <v>242</v>
      </c>
      <c r="E14" s="349"/>
      <c r="F14" s="349"/>
      <c r="G14" s="349"/>
      <c r="H14" s="350" t="s">
        <v>245</v>
      </c>
      <c r="I14" s="378">
        <f>SUM(J14:W14)</f>
        <v>672424488</v>
      </c>
      <c r="J14" s="349">
        <v>0</v>
      </c>
      <c r="K14" s="349">
        <v>21419421</v>
      </c>
      <c r="L14" s="349">
        <v>0</v>
      </c>
      <c r="M14" s="349">
        <v>0</v>
      </c>
      <c r="N14" s="349">
        <v>0</v>
      </c>
      <c r="O14" s="349">
        <v>6377891</v>
      </c>
      <c r="P14" s="349">
        <v>20907600</v>
      </c>
      <c r="Q14" s="349">
        <v>274755000</v>
      </c>
      <c r="R14" s="349">
        <v>8593000</v>
      </c>
      <c r="S14" s="349">
        <v>8081688</v>
      </c>
      <c r="T14" s="349">
        <v>0</v>
      </c>
      <c r="U14" s="349">
        <v>332289888</v>
      </c>
      <c r="V14" s="351">
        <v>0</v>
      </c>
      <c r="W14" s="351">
        <v>0</v>
      </c>
      <c r="X14" s="406">
        <f>SUM($J14:U14,V14:W14)</f>
        <v>672424488</v>
      </c>
      <c r="Y14" s="349">
        <f>GASTOS!AV31</f>
        <v>0</v>
      </c>
      <c r="Z14" s="349">
        <f>GASTOS!AW31</f>
        <v>21419421</v>
      </c>
      <c r="AA14" s="349">
        <f>GASTOS!AX31</f>
        <v>0</v>
      </c>
      <c r="AB14" s="349">
        <f>GASTOS!AY31</f>
        <v>-398015</v>
      </c>
      <c r="AC14" s="349">
        <f>GASTOS!AZ31</f>
        <v>0</v>
      </c>
      <c r="AD14" s="349">
        <f>GASTOS!BA31</f>
        <v>6975906</v>
      </c>
      <c r="AE14" s="349">
        <f>GASTOS!BB31</f>
        <v>0</v>
      </c>
      <c r="AF14" s="349">
        <f>GASTOS!BC31</f>
        <v>0</v>
      </c>
      <c r="AG14" s="349">
        <f>GASTOS!BD31</f>
        <v>7235032</v>
      </c>
      <c r="AH14" s="349">
        <f>GASTOS!BE31</f>
        <v>0</v>
      </c>
      <c r="AI14" s="349">
        <f>GASTOS!BF31</f>
        <v>208885476</v>
      </c>
      <c r="AJ14" s="349">
        <f>GASTOS!BG31</f>
        <v>0</v>
      </c>
      <c r="AK14" s="409">
        <f>SUM(Y14:AJ14)</f>
        <v>244117820</v>
      </c>
      <c r="AL14" s="380">
        <f>X14-AK14</f>
        <v>428306668</v>
      </c>
    </row>
    <row r="15" spans="1:38" ht="24.75" customHeight="1">
      <c r="A15" s="347" t="s">
        <v>170</v>
      </c>
      <c r="B15" s="348" t="s">
        <v>136</v>
      </c>
      <c r="C15" s="414" t="s">
        <v>171</v>
      </c>
      <c r="D15" s="349" t="s">
        <v>242</v>
      </c>
      <c r="E15" s="349"/>
      <c r="F15" s="349"/>
      <c r="G15" s="349"/>
      <c r="H15" s="350" t="s">
        <v>246</v>
      </c>
      <c r="I15" s="378">
        <f>SUM(J15:W15)</f>
        <v>0</v>
      </c>
      <c r="J15" s="349">
        <v>0</v>
      </c>
      <c r="K15" s="349">
        <v>0</v>
      </c>
      <c r="L15" s="349">
        <v>0</v>
      </c>
      <c r="M15" s="349">
        <v>0</v>
      </c>
      <c r="N15" s="349">
        <v>0</v>
      </c>
      <c r="O15" s="349">
        <v>0</v>
      </c>
      <c r="P15" s="349">
        <v>0</v>
      </c>
      <c r="Q15" s="349">
        <v>0</v>
      </c>
      <c r="R15" s="349">
        <v>0</v>
      </c>
      <c r="S15" s="349">
        <v>0</v>
      </c>
      <c r="T15" s="349">
        <v>0</v>
      </c>
      <c r="U15" s="349">
        <v>0</v>
      </c>
      <c r="V15" s="351">
        <v>0</v>
      </c>
      <c r="W15" s="351">
        <v>0</v>
      </c>
      <c r="X15" s="406">
        <f>SUM($J15:U15,V15:W15)</f>
        <v>0</v>
      </c>
      <c r="Y15" s="349">
        <f>GASTOS!AV37</f>
        <v>0</v>
      </c>
      <c r="Z15" s="349">
        <f>GASTOS!AW37</f>
        <v>0</v>
      </c>
      <c r="AA15" s="349">
        <f>GASTOS!AX37</f>
        <v>0</v>
      </c>
      <c r="AB15" s="349">
        <f>GASTOS!AY37</f>
        <v>0</v>
      </c>
      <c r="AC15" s="349">
        <f>GASTOS!AZ37</f>
        <v>0</v>
      </c>
      <c r="AD15" s="349">
        <f>GASTOS!BA37</f>
        <v>0</v>
      </c>
      <c r="AE15" s="349">
        <f>GASTOS!BB37</f>
        <v>0</v>
      </c>
      <c r="AF15" s="349">
        <f>GASTOS!BC37</f>
        <v>0</v>
      </c>
      <c r="AG15" s="349">
        <f>GASTOS!BD37</f>
        <v>0</v>
      </c>
      <c r="AH15" s="349">
        <f>GASTOS!BE37</f>
        <v>0</v>
      </c>
      <c r="AI15" s="349">
        <f>GASTOS!BF37</f>
        <v>0</v>
      </c>
      <c r="AJ15" s="349">
        <f>GASTOS!BG37</f>
        <v>0</v>
      </c>
      <c r="AK15" s="409">
        <f>SUM(Y15:AJ15)</f>
        <v>0</v>
      </c>
      <c r="AL15" s="380">
        <f>X15-AK15</f>
        <v>0</v>
      </c>
    </row>
    <row r="16" spans="1:38" s="387" customFormat="1" ht="24.75" customHeight="1" thickBot="1">
      <c r="A16" s="388" t="s">
        <v>177</v>
      </c>
      <c r="B16" s="389" t="s">
        <v>136</v>
      </c>
      <c r="C16" s="389" t="s">
        <v>242</v>
      </c>
      <c r="D16" s="389"/>
      <c r="E16" s="389"/>
      <c r="F16" s="389"/>
      <c r="G16" s="389"/>
      <c r="H16" s="390" t="s">
        <v>247</v>
      </c>
      <c r="I16" s="391">
        <f>SUM(J16:W16)</f>
        <v>78871256923</v>
      </c>
      <c r="J16" s="389">
        <v>0</v>
      </c>
      <c r="K16" s="389">
        <v>5254577860</v>
      </c>
      <c r="L16" s="389">
        <v>6849795035</v>
      </c>
      <c r="M16" s="389">
        <v>5611378882</v>
      </c>
      <c r="N16" s="389">
        <v>5338506375</v>
      </c>
      <c r="O16" s="389">
        <v>5150728996</v>
      </c>
      <c r="P16" s="389">
        <v>14914305919</v>
      </c>
      <c r="Q16" s="389">
        <v>6270225547</v>
      </c>
      <c r="R16" s="389">
        <v>6041568780</v>
      </c>
      <c r="S16" s="389">
        <v>6686898621</v>
      </c>
      <c r="T16" s="389">
        <v>6937192366</v>
      </c>
      <c r="U16" s="389">
        <v>9816078542</v>
      </c>
      <c r="V16" s="392">
        <v>0</v>
      </c>
      <c r="W16" s="392">
        <v>0</v>
      </c>
      <c r="X16" s="391">
        <f>SUM($J16:U16,V16:W16)</f>
        <v>78871256923</v>
      </c>
      <c r="Y16" s="389">
        <f>GASTOS!AV45</f>
        <v>0</v>
      </c>
      <c r="Z16" s="389">
        <f>GASTOS!AW45</f>
        <v>5254577860</v>
      </c>
      <c r="AA16" s="389">
        <f>GASTOS!AX45</f>
        <v>6849795035</v>
      </c>
      <c r="AB16" s="389">
        <f>GASTOS!AY45</f>
        <v>5611378882</v>
      </c>
      <c r="AC16" s="389">
        <f>GASTOS!AZ45</f>
        <v>5338506375</v>
      </c>
      <c r="AD16" s="389">
        <f>GASTOS!BA45</f>
        <v>3968456692</v>
      </c>
      <c r="AE16" s="389">
        <f>GASTOS!BB45</f>
        <v>7589752414</v>
      </c>
      <c r="AF16" s="389">
        <f>GASTOS!BC45</f>
        <v>7261459797</v>
      </c>
      <c r="AG16" s="389">
        <f>GASTOS!BD45</f>
        <v>8603226231</v>
      </c>
      <c r="AH16" s="389">
        <f>GASTOS!BE45</f>
        <v>8719379104</v>
      </c>
      <c r="AI16" s="389">
        <f>GASTOS!BF45</f>
        <v>3379492975</v>
      </c>
      <c r="AJ16" s="389">
        <f>GASTOS!BG45</f>
        <v>10477540942</v>
      </c>
      <c r="AK16" s="410">
        <f>SUM(Y16:AJ16)</f>
        <v>73053566307</v>
      </c>
      <c r="AL16" s="393">
        <f>X16-AK16</f>
        <v>5817690616</v>
      </c>
    </row>
    <row r="17" spans="1:38" ht="19.5" customHeight="1" thickBot="1" thickTop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</row>
    <row r="18" spans="1:38" s="387" customFormat="1" ht="24.75" customHeight="1" thickBot="1" thickTop="1">
      <c r="A18" s="394"/>
      <c r="B18" s="395"/>
      <c r="C18" s="395"/>
      <c r="D18" s="395"/>
      <c r="E18" s="395"/>
      <c r="F18" s="395"/>
      <c r="G18" s="396"/>
      <c r="H18" s="397" t="s">
        <v>248</v>
      </c>
      <c r="I18" s="398">
        <f aca="true" t="shared" si="2" ref="I18:X18">SUM(I12:I16)</f>
        <v>93544354437</v>
      </c>
      <c r="J18" s="398">
        <f t="shared" si="2"/>
        <v>415077754</v>
      </c>
      <c r="K18" s="398">
        <f t="shared" si="2"/>
        <v>6221802263</v>
      </c>
      <c r="L18" s="398">
        <f t="shared" si="2"/>
        <v>7707480477</v>
      </c>
      <c r="M18" s="398">
        <f t="shared" si="2"/>
        <v>6551785520</v>
      </c>
      <c r="N18" s="398">
        <f t="shared" si="2"/>
        <v>6376315458</v>
      </c>
      <c r="O18" s="398">
        <f t="shared" si="2"/>
        <v>7222490178</v>
      </c>
      <c r="P18" s="398">
        <f t="shared" si="2"/>
        <v>16048034470</v>
      </c>
      <c r="Q18" s="398">
        <f t="shared" si="2"/>
        <v>7661882891</v>
      </c>
      <c r="R18" s="398">
        <f t="shared" si="2"/>
        <v>7167231945</v>
      </c>
      <c r="S18" s="398">
        <f t="shared" si="2"/>
        <v>7530036536</v>
      </c>
      <c r="T18" s="398">
        <f t="shared" si="2"/>
        <v>7741926459</v>
      </c>
      <c r="U18" s="398">
        <f t="shared" si="2"/>
        <v>12900290486</v>
      </c>
      <c r="V18" s="382">
        <f t="shared" si="2"/>
        <v>0</v>
      </c>
      <c r="W18" s="382">
        <f t="shared" si="2"/>
        <v>0</v>
      </c>
      <c r="X18" s="398">
        <f t="shared" si="2"/>
        <v>93544354437</v>
      </c>
      <c r="Y18" s="398">
        <f aca="true" t="shared" si="3" ref="Y18:AL18">SUM(Y12:Y16)</f>
        <v>415077754</v>
      </c>
      <c r="Z18" s="398">
        <f t="shared" si="3"/>
        <v>6221802263</v>
      </c>
      <c r="AA18" s="398">
        <f t="shared" si="3"/>
        <v>7707480477</v>
      </c>
      <c r="AB18" s="398">
        <f t="shared" si="3"/>
        <v>6551387505</v>
      </c>
      <c r="AC18" s="398">
        <f t="shared" si="3"/>
        <v>6376315458</v>
      </c>
      <c r="AD18" s="398">
        <f t="shared" si="3"/>
        <v>5430519997</v>
      </c>
      <c r="AE18" s="398">
        <f t="shared" si="3"/>
        <v>8531865094</v>
      </c>
      <c r="AF18" s="398">
        <f t="shared" si="3"/>
        <v>8296463515</v>
      </c>
      <c r="AG18" s="398">
        <f t="shared" si="3"/>
        <v>9501195232</v>
      </c>
      <c r="AH18" s="398">
        <f t="shared" si="3"/>
        <v>9521358135</v>
      </c>
      <c r="AI18" s="398">
        <f t="shared" si="3"/>
        <v>4466819854</v>
      </c>
      <c r="AJ18" s="398">
        <f t="shared" si="3"/>
        <v>12937366800</v>
      </c>
      <c r="AK18" s="382">
        <f t="shared" si="3"/>
        <v>85957652084</v>
      </c>
      <c r="AL18" s="399">
        <f t="shared" si="3"/>
        <v>7586702353</v>
      </c>
    </row>
    <row r="19" spans="1:38" ht="19.5" customHeight="1" thickTop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</row>
    <row r="20" ht="19.5" customHeight="1" hidden="1"/>
    <row r="21" ht="19.5" customHeight="1" hidden="1"/>
    <row r="22" spans="1:38" ht="19.5" customHeight="1">
      <c r="A22" s="321" t="s">
        <v>249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</row>
    <row r="23" ht="19.5" customHeight="1" thickBot="1"/>
    <row r="24" spans="1:38" ht="19.5" customHeight="1" thickBot="1" thickTop="1">
      <c r="A24" s="352" t="s">
        <v>98</v>
      </c>
      <c r="B24" s="353"/>
      <c r="C24" s="353"/>
      <c r="D24" s="353"/>
      <c r="E24" s="353"/>
      <c r="F24" s="353"/>
      <c r="G24" s="353"/>
      <c r="H24" s="354"/>
      <c r="I24" s="239" t="s">
        <v>217</v>
      </c>
      <c r="J24" s="239" t="s">
        <v>217</v>
      </c>
      <c r="K24" s="239" t="s">
        <v>217</v>
      </c>
      <c r="L24" s="239" t="s">
        <v>217</v>
      </c>
      <c r="M24" s="239" t="s">
        <v>217</v>
      </c>
      <c r="N24" s="239" t="s">
        <v>217</v>
      </c>
      <c r="O24" s="239" t="s">
        <v>217</v>
      </c>
      <c r="P24" s="239" t="s">
        <v>217</v>
      </c>
      <c r="Q24" s="239" t="s">
        <v>217</v>
      </c>
      <c r="R24" s="239" t="s">
        <v>217</v>
      </c>
      <c r="S24" s="239" t="s">
        <v>217</v>
      </c>
      <c r="T24" s="239" t="s">
        <v>217</v>
      </c>
      <c r="U24" s="239" t="s">
        <v>217</v>
      </c>
      <c r="V24" s="355" t="s">
        <v>23</v>
      </c>
      <c r="W24" s="356"/>
      <c r="X24" s="239" t="s">
        <v>217</v>
      </c>
      <c r="Y24" s="239" t="s">
        <v>103</v>
      </c>
      <c r="Z24" s="239" t="s">
        <v>103</v>
      </c>
      <c r="AA24" s="239" t="s">
        <v>103</v>
      </c>
      <c r="AB24" s="239" t="s">
        <v>103</v>
      </c>
      <c r="AC24" s="239" t="s">
        <v>103</v>
      </c>
      <c r="AD24" s="239" t="s">
        <v>103</v>
      </c>
      <c r="AE24" s="239" t="s">
        <v>103</v>
      </c>
      <c r="AF24" s="239" t="s">
        <v>103</v>
      </c>
      <c r="AG24" s="239" t="s">
        <v>103</v>
      </c>
      <c r="AH24" s="239" t="s">
        <v>103</v>
      </c>
      <c r="AI24" s="239" t="s">
        <v>103</v>
      </c>
      <c r="AJ24" s="239" t="s">
        <v>103</v>
      </c>
      <c r="AK24" s="357" t="s">
        <v>16</v>
      </c>
      <c r="AL24" s="358" t="s">
        <v>218</v>
      </c>
    </row>
    <row r="25" spans="1:38" ht="19.5" customHeight="1" thickTop="1">
      <c r="A25" s="373" t="s">
        <v>106</v>
      </c>
      <c r="B25" s="374" t="s">
        <v>107</v>
      </c>
      <c r="C25" s="374" t="s">
        <v>219</v>
      </c>
      <c r="D25" s="374" t="s">
        <v>220</v>
      </c>
      <c r="E25" s="374" t="s">
        <v>221</v>
      </c>
      <c r="F25" s="374" t="s">
        <v>222</v>
      </c>
      <c r="G25" s="374" t="s">
        <v>111</v>
      </c>
      <c r="H25" s="359" t="s">
        <v>28</v>
      </c>
      <c r="I25" s="360" t="s">
        <v>33</v>
      </c>
      <c r="J25" s="360" t="s">
        <v>224</v>
      </c>
      <c r="K25" s="360" t="s">
        <v>225</v>
      </c>
      <c r="L25" s="360" t="s">
        <v>226</v>
      </c>
      <c r="M25" s="360" t="s">
        <v>227</v>
      </c>
      <c r="N25" s="360" t="s">
        <v>228</v>
      </c>
      <c r="O25" s="360" t="s">
        <v>229</v>
      </c>
      <c r="P25" s="360" t="s">
        <v>230</v>
      </c>
      <c r="Q25" s="360" t="s">
        <v>231</v>
      </c>
      <c r="R25" s="360" t="s">
        <v>232</v>
      </c>
      <c r="S25" s="360" t="s">
        <v>233</v>
      </c>
      <c r="T25" s="360" t="s">
        <v>234</v>
      </c>
      <c r="U25" s="360" t="s">
        <v>235</v>
      </c>
      <c r="V25" s="361">
        <v>-3</v>
      </c>
      <c r="W25" s="362"/>
      <c r="X25" s="360" t="s">
        <v>16</v>
      </c>
      <c r="Y25" s="360" t="s">
        <v>224</v>
      </c>
      <c r="Z25" s="360" t="s">
        <v>225</v>
      </c>
      <c r="AA25" s="360" t="s">
        <v>226</v>
      </c>
      <c r="AB25" s="360" t="s">
        <v>227</v>
      </c>
      <c r="AC25" s="360" t="s">
        <v>228</v>
      </c>
      <c r="AD25" s="360" t="s">
        <v>229</v>
      </c>
      <c r="AE25" s="360" t="s">
        <v>230</v>
      </c>
      <c r="AF25" s="360" t="s">
        <v>231</v>
      </c>
      <c r="AG25" s="360" t="s">
        <v>232</v>
      </c>
      <c r="AH25" s="360" t="s">
        <v>233</v>
      </c>
      <c r="AI25" s="360" t="s">
        <v>234</v>
      </c>
      <c r="AJ25" s="360" t="s">
        <v>235</v>
      </c>
      <c r="AK25" s="363" t="s">
        <v>103</v>
      </c>
      <c r="AL25" s="364" t="s">
        <v>16</v>
      </c>
    </row>
    <row r="26" spans="1:38" ht="19.5" customHeight="1" thickBot="1">
      <c r="A26" s="375"/>
      <c r="B26" s="376"/>
      <c r="C26" s="376" t="s">
        <v>116</v>
      </c>
      <c r="D26" s="376" t="s">
        <v>117</v>
      </c>
      <c r="E26" s="376" t="s">
        <v>118</v>
      </c>
      <c r="F26" s="376"/>
      <c r="G26" s="376"/>
      <c r="H26" s="365"/>
      <c r="I26" s="240">
        <v>-1</v>
      </c>
      <c r="J26" s="366" t="s">
        <v>37</v>
      </c>
      <c r="K26" s="366" t="s">
        <v>37</v>
      </c>
      <c r="L26" s="366" t="s">
        <v>37</v>
      </c>
      <c r="M26" s="366" t="s">
        <v>37</v>
      </c>
      <c r="N26" s="366" t="s">
        <v>37</v>
      </c>
      <c r="O26" s="366" t="s">
        <v>37</v>
      </c>
      <c r="P26" s="366" t="s">
        <v>37</v>
      </c>
      <c r="Q26" s="366" t="s">
        <v>37</v>
      </c>
      <c r="R26" s="366" t="s">
        <v>37</v>
      </c>
      <c r="S26" s="366" t="s">
        <v>37</v>
      </c>
      <c r="T26" s="366" t="s">
        <v>37</v>
      </c>
      <c r="U26" s="366" t="s">
        <v>37</v>
      </c>
      <c r="V26" s="367" t="s">
        <v>236</v>
      </c>
      <c r="W26" s="367" t="s">
        <v>237</v>
      </c>
      <c r="X26" s="240" t="s">
        <v>238</v>
      </c>
      <c r="Y26" s="240">
        <v>-5</v>
      </c>
      <c r="Z26" s="240">
        <v>-5</v>
      </c>
      <c r="AA26" s="240">
        <v>-5</v>
      </c>
      <c r="AB26" s="240">
        <v>-5</v>
      </c>
      <c r="AC26" s="240">
        <v>-5</v>
      </c>
      <c r="AD26" s="240">
        <v>-5</v>
      </c>
      <c r="AE26" s="240">
        <v>-5</v>
      </c>
      <c r="AF26" s="240">
        <v>-5</v>
      </c>
      <c r="AG26" s="240">
        <v>-5</v>
      </c>
      <c r="AH26" s="240">
        <v>-5</v>
      </c>
      <c r="AI26" s="240">
        <v>-5</v>
      </c>
      <c r="AJ26" s="240">
        <v>-5</v>
      </c>
      <c r="AK26" s="240" t="s">
        <v>239</v>
      </c>
      <c r="AL26" s="368" t="s">
        <v>240</v>
      </c>
    </row>
    <row r="27" spans="1:38" s="342" customFormat="1" ht="19.5" customHeight="1" thickBot="1" thickTop="1">
      <c r="A27" s="340"/>
      <c r="B27" s="340"/>
      <c r="C27" s="340"/>
      <c r="D27" s="340"/>
      <c r="E27" s="340"/>
      <c r="F27" s="340"/>
      <c r="G27" s="340"/>
      <c r="H27" s="341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1"/>
      <c r="W27" s="341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1"/>
      <c r="AL27" s="340"/>
    </row>
    <row r="28" spans="1:38" s="387" customFormat="1" ht="24.75" customHeight="1" thickBot="1" thickTop="1">
      <c r="A28" s="400" t="s">
        <v>177</v>
      </c>
      <c r="B28" s="401" t="s">
        <v>136</v>
      </c>
      <c r="C28" s="401" t="s">
        <v>242</v>
      </c>
      <c r="D28" s="401"/>
      <c r="E28" s="401"/>
      <c r="F28" s="401"/>
      <c r="G28" s="401"/>
      <c r="H28" s="402" t="s">
        <v>247</v>
      </c>
      <c r="I28" s="403">
        <f>SUM(J28:W28)</f>
        <v>15607130189</v>
      </c>
      <c r="J28" s="401">
        <v>0</v>
      </c>
      <c r="K28" s="401">
        <v>0</v>
      </c>
      <c r="L28" s="401">
        <v>960700000</v>
      </c>
      <c r="M28" s="401">
        <v>1273989422</v>
      </c>
      <c r="N28" s="401">
        <v>921538822</v>
      </c>
      <c r="O28" s="401">
        <v>921538822</v>
      </c>
      <c r="P28" s="401">
        <v>1415149746</v>
      </c>
      <c r="Q28" s="401">
        <v>1560573120</v>
      </c>
      <c r="R28" s="401">
        <v>3198000000</v>
      </c>
      <c r="S28" s="401">
        <v>1239209188</v>
      </c>
      <c r="T28" s="401">
        <v>1616431069</v>
      </c>
      <c r="U28" s="401">
        <v>2500000000</v>
      </c>
      <c r="V28" s="404">
        <v>0</v>
      </c>
      <c r="W28" s="404">
        <v>0</v>
      </c>
      <c r="X28" s="403">
        <f>SUM($J28:U28,V28:W28)</f>
        <v>15607130189</v>
      </c>
      <c r="Y28" s="401">
        <f>GASTOS!AV58</f>
        <v>0</v>
      </c>
      <c r="Z28" s="401">
        <f>GASTOS!AW58</f>
        <v>0</v>
      </c>
      <c r="AA28" s="401">
        <f>GASTOS!AX58</f>
        <v>945316620</v>
      </c>
      <c r="AB28" s="401">
        <f>GASTOS!AY58</f>
        <v>1270527422</v>
      </c>
      <c r="AC28" s="401">
        <f>GASTOS!AZ58</f>
        <v>940260033</v>
      </c>
      <c r="AD28" s="401">
        <f>GASTOS!BA58</f>
        <v>921662991</v>
      </c>
      <c r="AE28" s="401">
        <f>GASTOS!BB58</f>
        <v>1396059746</v>
      </c>
      <c r="AF28" s="401">
        <f>GASTOS!BC58</f>
        <v>1470877286</v>
      </c>
      <c r="AG28" s="401">
        <f>GASTOS!BD58</f>
        <v>3137959708</v>
      </c>
      <c r="AH28" s="401">
        <f>GASTOS!BE58</f>
        <v>1401272888</v>
      </c>
      <c r="AI28" s="401">
        <f>GASTOS!BF58</f>
        <v>1618658495</v>
      </c>
      <c r="AJ28" s="401">
        <f>GASTOS!BG58</f>
        <v>2504221000</v>
      </c>
      <c r="AK28" s="411">
        <f>SUM(Y28:AJ28)</f>
        <v>15606816189</v>
      </c>
      <c r="AL28" s="399">
        <f>X28-AK28</f>
        <v>314000</v>
      </c>
    </row>
    <row r="29" ht="19.5" customHeight="1" thickBot="1" thickTop="1"/>
    <row r="30" ht="19.5" customHeight="1" hidden="1"/>
    <row r="31" spans="1:8" ht="19.5" customHeight="1" thickBot="1">
      <c r="A31" s="460" t="s">
        <v>250</v>
      </c>
      <c r="B31" s="457"/>
      <c r="C31" s="457"/>
      <c r="D31" s="457"/>
      <c r="E31" s="457"/>
      <c r="F31" s="457"/>
      <c r="G31" s="457"/>
      <c r="H31" s="458"/>
    </row>
    <row r="33" spans="1:38" ht="19.5" customHeight="1" thickBot="1">
      <c r="A33" s="321" t="s">
        <v>132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</row>
    <row r="34" spans="1:38" ht="19.5" customHeight="1" thickBot="1" thickTop="1">
      <c r="A34" s="323" t="s">
        <v>98</v>
      </c>
      <c r="B34" s="324"/>
      <c r="C34" s="324"/>
      <c r="D34" s="324"/>
      <c r="E34" s="324"/>
      <c r="F34" s="324"/>
      <c r="G34" s="324"/>
      <c r="H34" s="325"/>
      <c r="I34" s="1" t="s">
        <v>217</v>
      </c>
      <c r="J34" s="1" t="s">
        <v>217</v>
      </c>
      <c r="K34" s="1" t="s">
        <v>217</v>
      </c>
      <c r="L34" s="1" t="s">
        <v>217</v>
      </c>
      <c r="M34" s="1" t="s">
        <v>217</v>
      </c>
      <c r="N34" s="1" t="s">
        <v>217</v>
      </c>
      <c r="O34" s="1" t="s">
        <v>217</v>
      </c>
      <c r="P34" s="1" t="s">
        <v>217</v>
      </c>
      <c r="Q34" s="1" t="s">
        <v>217</v>
      </c>
      <c r="R34" s="1" t="s">
        <v>217</v>
      </c>
      <c r="S34" s="1" t="s">
        <v>217</v>
      </c>
      <c r="T34" s="1" t="s">
        <v>217</v>
      </c>
      <c r="U34" s="1" t="s">
        <v>217</v>
      </c>
      <c r="V34" s="326" t="s">
        <v>23</v>
      </c>
      <c r="W34" s="327"/>
      <c r="X34" s="1" t="s">
        <v>217</v>
      </c>
      <c r="Y34" s="1" t="s">
        <v>103</v>
      </c>
      <c r="Z34" s="1" t="s">
        <v>103</v>
      </c>
      <c r="AA34" s="1" t="s">
        <v>103</v>
      </c>
      <c r="AB34" s="1" t="s">
        <v>103</v>
      </c>
      <c r="AC34" s="1" t="s">
        <v>103</v>
      </c>
      <c r="AD34" s="1" t="s">
        <v>103</v>
      </c>
      <c r="AE34" s="1" t="s">
        <v>103</v>
      </c>
      <c r="AF34" s="1" t="s">
        <v>103</v>
      </c>
      <c r="AG34" s="1" t="s">
        <v>103</v>
      </c>
      <c r="AH34" s="1" t="s">
        <v>103</v>
      </c>
      <c r="AI34" s="1" t="s">
        <v>103</v>
      </c>
      <c r="AJ34" s="1" t="s">
        <v>103</v>
      </c>
      <c r="AK34" s="328" t="s">
        <v>16</v>
      </c>
      <c r="AL34" s="329" t="s">
        <v>218</v>
      </c>
    </row>
    <row r="35" spans="1:38" ht="19.5" customHeight="1" thickTop="1">
      <c r="A35" s="369" t="s">
        <v>106</v>
      </c>
      <c r="B35" s="370" t="s">
        <v>107</v>
      </c>
      <c r="C35" s="370" t="s">
        <v>219</v>
      </c>
      <c r="D35" s="370" t="s">
        <v>220</v>
      </c>
      <c r="E35" s="370" t="s">
        <v>221</v>
      </c>
      <c r="F35" s="370" t="s">
        <v>222</v>
      </c>
      <c r="G35" s="370" t="s">
        <v>111</v>
      </c>
      <c r="H35" s="330" t="s">
        <v>28</v>
      </c>
      <c r="I35" s="331" t="s">
        <v>223</v>
      </c>
      <c r="J35" s="331" t="s">
        <v>224</v>
      </c>
      <c r="K35" s="331" t="s">
        <v>225</v>
      </c>
      <c r="L35" s="331" t="s">
        <v>226</v>
      </c>
      <c r="M35" s="331" t="s">
        <v>227</v>
      </c>
      <c r="N35" s="331" t="s">
        <v>228</v>
      </c>
      <c r="O35" s="331" t="s">
        <v>229</v>
      </c>
      <c r="P35" s="331" t="s">
        <v>230</v>
      </c>
      <c r="Q35" s="331" t="s">
        <v>231</v>
      </c>
      <c r="R35" s="331" t="s">
        <v>232</v>
      </c>
      <c r="S35" s="331" t="s">
        <v>233</v>
      </c>
      <c r="T35" s="331" t="s">
        <v>234</v>
      </c>
      <c r="U35" s="331" t="s">
        <v>235</v>
      </c>
      <c r="V35" s="332">
        <v>-3</v>
      </c>
      <c r="W35" s="333"/>
      <c r="X35" s="331" t="s">
        <v>16</v>
      </c>
      <c r="Y35" s="331" t="s">
        <v>224</v>
      </c>
      <c r="Z35" s="331" t="s">
        <v>225</v>
      </c>
      <c r="AA35" s="331" t="s">
        <v>226</v>
      </c>
      <c r="AB35" s="331" t="s">
        <v>227</v>
      </c>
      <c r="AC35" s="331" t="s">
        <v>228</v>
      </c>
      <c r="AD35" s="331" t="s">
        <v>229</v>
      </c>
      <c r="AE35" s="331" t="s">
        <v>230</v>
      </c>
      <c r="AF35" s="331" t="s">
        <v>231</v>
      </c>
      <c r="AG35" s="331" t="s">
        <v>232</v>
      </c>
      <c r="AH35" s="331" t="s">
        <v>233</v>
      </c>
      <c r="AI35" s="331" t="s">
        <v>234</v>
      </c>
      <c r="AJ35" s="331" t="s">
        <v>235</v>
      </c>
      <c r="AK35" s="334" t="s">
        <v>103</v>
      </c>
      <c r="AL35" s="335" t="s">
        <v>16</v>
      </c>
    </row>
    <row r="36" spans="1:38" ht="19.5" customHeight="1" thickBot="1">
      <c r="A36" s="371"/>
      <c r="B36" s="372"/>
      <c r="C36" s="372" t="s">
        <v>116</v>
      </c>
      <c r="D36" s="372" t="s">
        <v>117</v>
      </c>
      <c r="E36" s="372" t="s">
        <v>118</v>
      </c>
      <c r="F36" s="372"/>
      <c r="G36" s="372"/>
      <c r="H36" s="336"/>
      <c r="I36" s="2">
        <v>-1</v>
      </c>
      <c r="J36" s="337" t="s">
        <v>37</v>
      </c>
      <c r="K36" s="337" t="s">
        <v>37</v>
      </c>
      <c r="L36" s="337" t="s">
        <v>37</v>
      </c>
      <c r="M36" s="337" t="s">
        <v>37</v>
      </c>
      <c r="N36" s="337" t="s">
        <v>37</v>
      </c>
      <c r="O36" s="337" t="s">
        <v>37</v>
      </c>
      <c r="P36" s="337" t="s">
        <v>37</v>
      </c>
      <c r="Q36" s="337" t="s">
        <v>37</v>
      </c>
      <c r="R36" s="337" t="s">
        <v>37</v>
      </c>
      <c r="S36" s="337" t="s">
        <v>37</v>
      </c>
      <c r="T36" s="337" t="s">
        <v>37</v>
      </c>
      <c r="U36" s="337" t="s">
        <v>37</v>
      </c>
      <c r="V36" s="338" t="s">
        <v>236</v>
      </c>
      <c r="W36" s="338" t="s">
        <v>237</v>
      </c>
      <c r="X36" s="2" t="s">
        <v>238</v>
      </c>
      <c r="Y36" s="2">
        <v>-5</v>
      </c>
      <c r="Z36" s="2">
        <v>-5</v>
      </c>
      <c r="AA36" s="2">
        <v>-5</v>
      </c>
      <c r="AB36" s="2">
        <v>-5</v>
      </c>
      <c r="AC36" s="2">
        <v>-5</v>
      </c>
      <c r="AD36" s="2">
        <v>-5</v>
      </c>
      <c r="AE36" s="2">
        <v>-5</v>
      </c>
      <c r="AF36" s="2">
        <v>-5</v>
      </c>
      <c r="AG36" s="2">
        <v>-5</v>
      </c>
      <c r="AH36" s="2">
        <v>-5</v>
      </c>
      <c r="AI36" s="2">
        <v>-5</v>
      </c>
      <c r="AJ36" s="2">
        <v>-5</v>
      </c>
      <c r="AK36" s="2" t="s">
        <v>239</v>
      </c>
      <c r="AL36" s="339" t="s">
        <v>240</v>
      </c>
    </row>
    <row r="37" spans="1:38" ht="19.5" customHeight="1" thickBot="1" thickTop="1">
      <c r="A37" s="340"/>
      <c r="B37" s="340"/>
      <c r="C37" s="340"/>
      <c r="D37" s="340"/>
      <c r="E37" s="340"/>
      <c r="F37" s="340"/>
      <c r="G37" s="340"/>
      <c r="H37" s="341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1"/>
      <c r="W37" s="341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1"/>
      <c r="AL37" s="340"/>
    </row>
    <row r="38" spans="1:38" ht="24.75" customHeight="1" thickBot="1" thickTop="1">
      <c r="A38" s="383" t="s">
        <v>133</v>
      </c>
      <c r="B38" s="384" t="s">
        <v>136</v>
      </c>
      <c r="C38" s="384"/>
      <c r="D38" s="384"/>
      <c r="E38" s="384"/>
      <c r="F38" s="384"/>
      <c r="G38" s="384"/>
      <c r="H38" s="385" t="s">
        <v>241</v>
      </c>
      <c r="I38" s="384">
        <f>SUM(I39:I40)</f>
        <v>288471464</v>
      </c>
      <c r="J38" s="384">
        <f aca="true" t="shared" si="4" ref="J38:Y38">SUM(J39:J40)</f>
        <v>57384979</v>
      </c>
      <c r="K38" s="384">
        <f t="shared" si="4"/>
        <v>59197610</v>
      </c>
      <c r="L38" s="384">
        <f t="shared" si="4"/>
        <v>20249236</v>
      </c>
      <c r="M38" s="384">
        <f t="shared" si="4"/>
        <v>24252589</v>
      </c>
      <c r="N38" s="384">
        <f t="shared" si="4"/>
        <v>14069211</v>
      </c>
      <c r="O38" s="384">
        <f t="shared" si="4"/>
        <v>22976878</v>
      </c>
      <c r="P38" s="384">
        <f t="shared" si="4"/>
        <v>46498474</v>
      </c>
      <c r="Q38" s="384">
        <f t="shared" si="4"/>
        <v>28416852</v>
      </c>
      <c r="R38" s="384">
        <f t="shared" si="4"/>
        <v>15425635</v>
      </c>
      <c r="S38" s="384">
        <f t="shared" si="4"/>
        <v>0</v>
      </c>
      <c r="T38" s="384">
        <f t="shared" si="4"/>
        <v>0</v>
      </c>
      <c r="U38" s="384">
        <f t="shared" si="4"/>
        <v>0</v>
      </c>
      <c r="V38" s="381">
        <f t="shared" si="4"/>
        <v>0</v>
      </c>
      <c r="W38" s="381">
        <f t="shared" si="4"/>
        <v>0</v>
      </c>
      <c r="X38" s="384">
        <f t="shared" si="4"/>
        <v>288471464</v>
      </c>
      <c r="Y38" s="384">
        <f t="shared" si="4"/>
        <v>57384979</v>
      </c>
      <c r="Z38" s="384">
        <f aca="true" t="shared" si="5" ref="Z38:AL38">SUM(Z39:Z40)</f>
        <v>59197610</v>
      </c>
      <c r="AA38" s="384">
        <f t="shared" si="5"/>
        <v>20249236</v>
      </c>
      <c r="AB38" s="384">
        <f t="shared" si="5"/>
        <v>24252589</v>
      </c>
      <c r="AC38" s="384">
        <f t="shared" si="5"/>
        <v>14069211</v>
      </c>
      <c r="AD38" s="384">
        <f t="shared" si="5"/>
        <v>7396626</v>
      </c>
      <c r="AE38" s="384">
        <f t="shared" si="5"/>
        <v>7538783</v>
      </c>
      <c r="AF38" s="384">
        <f t="shared" si="5"/>
        <v>8382159</v>
      </c>
      <c r="AG38" s="384">
        <f t="shared" si="5"/>
        <v>206582</v>
      </c>
      <c r="AH38" s="384">
        <f t="shared" si="5"/>
        <v>3653188</v>
      </c>
      <c r="AI38" s="384">
        <f t="shared" si="5"/>
        <v>58129</v>
      </c>
      <c r="AJ38" s="384">
        <f t="shared" si="5"/>
        <v>36116</v>
      </c>
      <c r="AK38" s="381">
        <f t="shared" si="5"/>
        <v>202425208</v>
      </c>
      <c r="AL38" s="386">
        <f t="shared" si="5"/>
        <v>86046256</v>
      </c>
    </row>
    <row r="39" spans="1:38" ht="24.75" customHeight="1" thickTop="1">
      <c r="A39" s="343" t="s">
        <v>133</v>
      </c>
      <c r="B39" s="344" t="s">
        <v>136</v>
      </c>
      <c r="C39" s="412" t="s">
        <v>137</v>
      </c>
      <c r="D39" s="344" t="s">
        <v>242</v>
      </c>
      <c r="E39" s="344"/>
      <c r="F39" s="344"/>
      <c r="G39" s="344"/>
      <c r="H39" s="345" t="s">
        <v>243</v>
      </c>
      <c r="I39" s="377">
        <f>SUM(J39:W39)</f>
        <v>14888860</v>
      </c>
      <c r="J39" s="344">
        <v>7095495</v>
      </c>
      <c r="K39" s="344">
        <v>2596104</v>
      </c>
      <c r="L39" s="344">
        <v>83179</v>
      </c>
      <c r="M39" s="344">
        <v>2600</v>
      </c>
      <c r="N39" s="344">
        <v>317971</v>
      </c>
      <c r="O39" s="344">
        <v>4793511</v>
      </c>
      <c r="P39" s="344">
        <v>0</v>
      </c>
      <c r="Q39" s="344">
        <v>0</v>
      </c>
      <c r="R39" s="344">
        <v>0</v>
      </c>
      <c r="S39" s="344">
        <v>0</v>
      </c>
      <c r="T39" s="344">
        <v>0</v>
      </c>
      <c r="U39" s="344">
        <v>0</v>
      </c>
      <c r="V39" s="346">
        <v>0</v>
      </c>
      <c r="W39" s="346">
        <v>0</v>
      </c>
      <c r="X39" s="405">
        <f>SUM($J39:U39,V39:W39)</f>
        <v>14888860</v>
      </c>
      <c r="Y39" s="344">
        <f>'Cuentas por Pagar'!AK11</f>
        <v>7095495</v>
      </c>
      <c r="Z39" s="344">
        <f>'Cuentas por Pagar'!AL11</f>
        <v>2596104</v>
      </c>
      <c r="AA39" s="344">
        <f>'Cuentas por Pagar'!AM11</f>
        <v>83179</v>
      </c>
      <c r="AB39" s="344">
        <f>'Cuentas por Pagar'!AN11</f>
        <v>2600</v>
      </c>
      <c r="AC39" s="344">
        <f>'Cuentas por Pagar'!AO11</f>
        <v>317971</v>
      </c>
      <c r="AD39" s="344">
        <f>'Cuentas por Pagar'!AP11</f>
        <v>0</v>
      </c>
      <c r="AE39" s="344">
        <f>'Cuentas por Pagar'!AQ11</f>
        <v>0</v>
      </c>
      <c r="AF39" s="344">
        <f>'Cuentas por Pagar'!AR11</f>
        <v>0</v>
      </c>
      <c r="AG39" s="344">
        <f>'Cuentas por Pagar'!AS11</f>
        <v>0</v>
      </c>
      <c r="AH39" s="344">
        <f>'Cuentas por Pagar'!AT11</f>
        <v>5515</v>
      </c>
      <c r="AI39" s="344">
        <f>'Cuentas por Pagar'!AU11</f>
        <v>2980</v>
      </c>
      <c r="AJ39" s="344">
        <f>'Cuentas por Pagar'!AV11</f>
        <v>0</v>
      </c>
      <c r="AK39" s="408">
        <f>SUM(Y39:AJ39)</f>
        <v>10103844</v>
      </c>
      <c r="AL39" s="379">
        <f>X39-AK39</f>
        <v>4785016</v>
      </c>
    </row>
    <row r="40" spans="1:38" ht="24.75" customHeight="1">
      <c r="A40" s="347" t="s">
        <v>133</v>
      </c>
      <c r="B40" s="348" t="s">
        <v>136</v>
      </c>
      <c r="C40" s="413" t="s">
        <v>142</v>
      </c>
      <c r="D40" s="349" t="s">
        <v>242</v>
      </c>
      <c r="E40" s="349"/>
      <c r="F40" s="349"/>
      <c r="G40" s="349"/>
      <c r="H40" s="350" t="s">
        <v>244</v>
      </c>
      <c r="I40" s="378">
        <f>SUM(J40:W40)</f>
        <v>273582604</v>
      </c>
      <c r="J40" s="349">
        <v>50289484</v>
      </c>
      <c r="K40" s="349">
        <v>56601506</v>
      </c>
      <c r="L40" s="349">
        <v>20166057</v>
      </c>
      <c r="M40" s="349">
        <v>24249989</v>
      </c>
      <c r="N40" s="349">
        <v>13751240</v>
      </c>
      <c r="O40" s="349">
        <v>18183367</v>
      </c>
      <c r="P40" s="349">
        <v>46498474</v>
      </c>
      <c r="Q40" s="349">
        <v>28416852</v>
      </c>
      <c r="R40" s="349">
        <v>15425635</v>
      </c>
      <c r="S40" s="349">
        <v>0</v>
      </c>
      <c r="T40" s="349">
        <v>0</v>
      </c>
      <c r="U40" s="349">
        <v>0</v>
      </c>
      <c r="V40" s="351">
        <v>0</v>
      </c>
      <c r="W40" s="351">
        <v>0</v>
      </c>
      <c r="X40" s="406">
        <f>SUM($J40:U40,V40:W40)</f>
        <v>273582604</v>
      </c>
      <c r="Y40" s="349">
        <f>'Cuentas por Pagar'!AK18</f>
        <v>50289484</v>
      </c>
      <c r="Z40" s="349">
        <f>'Cuentas por Pagar'!AL18</f>
        <v>56601506</v>
      </c>
      <c r="AA40" s="349">
        <f>'Cuentas por Pagar'!AM18</f>
        <v>20166057</v>
      </c>
      <c r="AB40" s="349">
        <f>'Cuentas por Pagar'!AN18</f>
        <v>24249989</v>
      </c>
      <c r="AC40" s="349">
        <f>'Cuentas por Pagar'!AO18</f>
        <v>13751240</v>
      </c>
      <c r="AD40" s="349">
        <f>'Cuentas por Pagar'!AP18</f>
        <v>7396626</v>
      </c>
      <c r="AE40" s="349">
        <f>'Cuentas por Pagar'!AQ18</f>
        <v>7538783</v>
      </c>
      <c r="AF40" s="349">
        <f>'Cuentas por Pagar'!AR18</f>
        <v>8382159</v>
      </c>
      <c r="AG40" s="349">
        <f>'Cuentas por Pagar'!AS18</f>
        <v>206582</v>
      </c>
      <c r="AH40" s="349">
        <f>'Cuentas por Pagar'!AT18</f>
        <v>3647673</v>
      </c>
      <c r="AI40" s="349">
        <f>'Cuentas por Pagar'!AU18</f>
        <v>55149</v>
      </c>
      <c r="AJ40" s="349">
        <f>'Cuentas por Pagar'!AV18</f>
        <v>36116</v>
      </c>
      <c r="AK40" s="409">
        <f>SUM(Y40:AJ40)</f>
        <v>192321364</v>
      </c>
      <c r="AL40" s="380">
        <f>X40-AK40</f>
        <v>81261240</v>
      </c>
    </row>
    <row r="41" spans="1:38" ht="24.75" customHeight="1" thickBot="1">
      <c r="A41" s="388" t="s">
        <v>177</v>
      </c>
      <c r="B41" s="389" t="s">
        <v>136</v>
      </c>
      <c r="C41" s="389" t="s">
        <v>242</v>
      </c>
      <c r="D41" s="389"/>
      <c r="E41" s="389"/>
      <c r="F41" s="389"/>
      <c r="G41" s="389"/>
      <c r="H41" s="390" t="s">
        <v>247</v>
      </c>
      <c r="I41" s="391">
        <f>SUM(J41:W41)</f>
        <v>6226134599</v>
      </c>
      <c r="J41" s="389">
        <v>2976735473</v>
      </c>
      <c r="K41" s="389">
        <v>2071982062</v>
      </c>
      <c r="L41" s="389">
        <v>309475660</v>
      </c>
      <c r="M41" s="389">
        <v>458714900</v>
      </c>
      <c r="N41" s="389">
        <v>156427554</v>
      </c>
      <c r="O41" s="389">
        <v>128183367</v>
      </c>
      <c r="P41" s="389">
        <v>76498474</v>
      </c>
      <c r="Q41" s="389">
        <v>48117109</v>
      </c>
      <c r="R41" s="389">
        <v>0</v>
      </c>
      <c r="S41" s="389">
        <v>0</v>
      </c>
      <c r="T41" s="389">
        <v>0</v>
      </c>
      <c r="U41" s="389">
        <v>0</v>
      </c>
      <c r="V41" s="392">
        <v>0</v>
      </c>
      <c r="W41" s="392">
        <v>0</v>
      </c>
      <c r="X41" s="391">
        <f>SUM($J41:U41,V41:W41)</f>
        <v>6226134599</v>
      </c>
      <c r="Y41" s="389">
        <f>'Cuentas por Pagar'!AK27+'Reservas Presupuestales'!AK10</f>
        <v>2976735473</v>
      </c>
      <c r="Z41" s="389">
        <f>'Cuentas por Pagar'!AL27+'Reservas Presupuestales'!AL10</f>
        <v>2071982062</v>
      </c>
      <c r="AA41" s="389">
        <f>'Cuentas por Pagar'!AM27+'Reservas Presupuestales'!AM10</f>
        <v>309475660</v>
      </c>
      <c r="AB41" s="389">
        <f>'Cuentas por Pagar'!AN27+'Reservas Presupuestales'!AN10</f>
        <v>458714900</v>
      </c>
      <c r="AC41" s="389">
        <f>'Cuentas por Pagar'!AO27+'Reservas Presupuestales'!AO10</f>
        <v>156427554</v>
      </c>
      <c r="AD41" s="389">
        <f>'Cuentas por Pagar'!AP27+'Reservas Presupuestales'!AP10</f>
        <v>28408329</v>
      </c>
      <c r="AE41" s="389">
        <f>'Cuentas por Pagar'!AQ27+'Reservas Presupuestales'!AQ10</f>
        <v>127568051</v>
      </c>
      <c r="AF41" s="389">
        <f>'Cuentas por Pagar'!AR27+'Reservas Presupuestales'!AR10</f>
        <v>584640</v>
      </c>
      <c r="AG41" s="389">
        <f>'Cuentas por Pagar'!AS27+'Reservas Presupuestales'!AS10</f>
        <v>8818649</v>
      </c>
      <c r="AH41" s="389">
        <f>'Cuentas por Pagar'!AT27+'Reservas Presupuestales'!AT10</f>
        <v>51103421</v>
      </c>
      <c r="AI41" s="389">
        <f>'Cuentas por Pagar'!AU27+'Reservas Presupuestales'!AU10</f>
        <v>0</v>
      </c>
      <c r="AJ41" s="389">
        <f>'Cuentas por Pagar'!AV27+'Reservas Presupuestales'!AV10</f>
        <v>27989492</v>
      </c>
      <c r="AK41" s="410">
        <f>SUM(Y41:AJ41)</f>
        <v>6217808231</v>
      </c>
      <c r="AL41" s="393">
        <f>X41-AK41</f>
        <v>8326368</v>
      </c>
    </row>
    <row r="42" spans="1:38" ht="19.5" customHeight="1" thickBot="1" thickTop="1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</row>
    <row r="43" spans="1:38" ht="24.75" customHeight="1" thickBot="1" thickTop="1">
      <c r="A43" s="394"/>
      <c r="B43" s="395"/>
      <c r="C43" s="395"/>
      <c r="D43" s="395"/>
      <c r="E43" s="395"/>
      <c r="F43" s="395"/>
      <c r="G43" s="396"/>
      <c r="H43" s="397" t="s">
        <v>248</v>
      </c>
      <c r="I43" s="398">
        <f aca="true" t="shared" si="6" ref="I43:X43">SUM(I39:I41)</f>
        <v>6514606063</v>
      </c>
      <c r="J43" s="398">
        <f t="shared" si="6"/>
        <v>3034120452</v>
      </c>
      <c r="K43" s="398">
        <f t="shared" si="6"/>
        <v>2131179672</v>
      </c>
      <c r="L43" s="398">
        <f t="shared" si="6"/>
        <v>329724896</v>
      </c>
      <c r="M43" s="398">
        <f t="shared" si="6"/>
        <v>482967489</v>
      </c>
      <c r="N43" s="398">
        <f t="shared" si="6"/>
        <v>170496765</v>
      </c>
      <c r="O43" s="398">
        <f t="shared" si="6"/>
        <v>151160245</v>
      </c>
      <c r="P43" s="398">
        <f t="shared" si="6"/>
        <v>122996948</v>
      </c>
      <c r="Q43" s="398">
        <f t="shared" si="6"/>
        <v>76533961</v>
      </c>
      <c r="R43" s="398">
        <f t="shared" si="6"/>
        <v>15425635</v>
      </c>
      <c r="S43" s="398">
        <f t="shared" si="6"/>
        <v>0</v>
      </c>
      <c r="T43" s="398">
        <f t="shared" si="6"/>
        <v>0</v>
      </c>
      <c r="U43" s="398">
        <f t="shared" si="6"/>
        <v>0</v>
      </c>
      <c r="V43" s="382">
        <f t="shared" si="6"/>
        <v>0</v>
      </c>
      <c r="W43" s="382">
        <f t="shared" si="6"/>
        <v>0</v>
      </c>
      <c r="X43" s="398">
        <f t="shared" si="6"/>
        <v>6514606063</v>
      </c>
      <c r="Y43" s="398">
        <f aca="true" t="shared" si="7" ref="Y43:AL43">SUM(Y39:Y41)</f>
        <v>3034120452</v>
      </c>
      <c r="Z43" s="398">
        <f t="shared" si="7"/>
        <v>2131179672</v>
      </c>
      <c r="AA43" s="398">
        <f t="shared" si="7"/>
        <v>329724896</v>
      </c>
      <c r="AB43" s="398">
        <f t="shared" si="7"/>
        <v>482967489</v>
      </c>
      <c r="AC43" s="398">
        <f t="shared" si="7"/>
        <v>170496765</v>
      </c>
      <c r="AD43" s="398">
        <f t="shared" si="7"/>
        <v>35804955</v>
      </c>
      <c r="AE43" s="398">
        <f t="shared" si="7"/>
        <v>135106834</v>
      </c>
      <c r="AF43" s="398">
        <f t="shared" si="7"/>
        <v>8966799</v>
      </c>
      <c r="AG43" s="398">
        <f t="shared" si="7"/>
        <v>9025231</v>
      </c>
      <c r="AH43" s="398">
        <f t="shared" si="7"/>
        <v>54756609</v>
      </c>
      <c r="AI43" s="398">
        <f t="shared" si="7"/>
        <v>58129</v>
      </c>
      <c r="AJ43" s="398">
        <f t="shared" si="7"/>
        <v>28025608</v>
      </c>
      <c r="AK43" s="382">
        <f t="shared" si="7"/>
        <v>6420233439</v>
      </c>
      <c r="AL43" s="399">
        <f t="shared" si="7"/>
        <v>94372624</v>
      </c>
    </row>
    <row r="44" spans="1:38" ht="19.5" customHeight="1" thickTop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</row>
    <row r="45" ht="19.5" customHeight="1" hidden="1"/>
    <row r="46" ht="19.5" customHeight="1" hidden="1"/>
    <row r="47" spans="1:38" ht="19.5" customHeight="1" thickBot="1">
      <c r="A47" s="321" t="s">
        <v>249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</row>
    <row r="48" ht="19.5" customHeight="1" hidden="1" thickBot="1"/>
    <row r="49" spans="1:38" ht="19.5" customHeight="1" thickBot="1" thickTop="1">
      <c r="A49" s="352" t="s">
        <v>98</v>
      </c>
      <c r="B49" s="353"/>
      <c r="C49" s="353"/>
      <c r="D49" s="353"/>
      <c r="E49" s="353"/>
      <c r="F49" s="353"/>
      <c r="G49" s="353"/>
      <c r="H49" s="354"/>
      <c r="I49" s="239" t="s">
        <v>217</v>
      </c>
      <c r="J49" s="239" t="s">
        <v>217</v>
      </c>
      <c r="K49" s="239" t="s">
        <v>217</v>
      </c>
      <c r="L49" s="239" t="s">
        <v>217</v>
      </c>
      <c r="M49" s="239" t="s">
        <v>217</v>
      </c>
      <c r="N49" s="239" t="s">
        <v>217</v>
      </c>
      <c r="O49" s="239" t="s">
        <v>217</v>
      </c>
      <c r="P49" s="239" t="s">
        <v>217</v>
      </c>
      <c r="Q49" s="239" t="s">
        <v>217</v>
      </c>
      <c r="R49" s="239" t="s">
        <v>217</v>
      </c>
      <c r="S49" s="239" t="s">
        <v>217</v>
      </c>
      <c r="T49" s="239" t="s">
        <v>217</v>
      </c>
      <c r="U49" s="239" t="s">
        <v>217</v>
      </c>
      <c r="V49" s="355" t="s">
        <v>23</v>
      </c>
      <c r="W49" s="356"/>
      <c r="X49" s="239" t="s">
        <v>217</v>
      </c>
      <c r="Y49" s="239" t="s">
        <v>103</v>
      </c>
      <c r="Z49" s="239" t="s">
        <v>103</v>
      </c>
      <c r="AA49" s="239" t="s">
        <v>103</v>
      </c>
      <c r="AB49" s="239" t="s">
        <v>103</v>
      </c>
      <c r="AC49" s="239" t="s">
        <v>103</v>
      </c>
      <c r="AD49" s="239" t="s">
        <v>103</v>
      </c>
      <c r="AE49" s="239" t="s">
        <v>103</v>
      </c>
      <c r="AF49" s="239" t="s">
        <v>103</v>
      </c>
      <c r="AG49" s="239" t="s">
        <v>103</v>
      </c>
      <c r="AH49" s="239" t="s">
        <v>103</v>
      </c>
      <c r="AI49" s="239" t="s">
        <v>103</v>
      </c>
      <c r="AJ49" s="239" t="s">
        <v>103</v>
      </c>
      <c r="AK49" s="357" t="s">
        <v>16</v>
      </c>
      <c r="AL49" s="358" t="s">
        <v>218</v>
      </c>
    </row>
    <row r="50" spans="1:38" ht="19.5" customHeight="1" thickTop="1">
      <c r="A50" s="373" t="s">
        <v>106</v>
      </c>
      <c r="B50" s="374" t="s">
        <v>107</v>
      </c>
      <c r="C50" s="374" t="s">
        <v>219</v>
      </c>
      <c r="D50" s="374" t="s">
        <v>220</v>
      </c>
      <c r="E50" s="374" t="s">
        <v>221</v>
      </c>
      <c r="F50" s="374" t="s">
        <v>222</v>
      </c>
      <c r="G50" s="374" t="s">
        <v>111</v>
      </c>
      <c r="H50" s="359" t="s">
        <v>28</v>
      </c>
      <c r="I50" s="360" t="s">
        <v>33</v>
      </c>
      <c r="J50" s="360" t="s">
        <v>224</v>
      </c>
      <c r="K50" s="360" t="s">
        <v>225</v>
      </c>
      <c r="L50" s="360" t="s">
        <v>226</v>
      </c>
      <c r="M50" s="360" t="s">
        <v>227</v>
      </c>
      <c r="N50" s="360" t="s">
        <v>228</v>
      </c>
      <c r="O50" s="360" t="s">
        <v>229</v>
      </c>
      <c r="P50" s="360" t="s">
        <v>230</v>
      </c>
      <c r="Q50" s="360" t="s">
        <v>231</v>
      </c>
      <c r="R50" s="360" t="s">
        <v>232</v>
      </c>
      <c r="S50" s="360" t="s">
        <v>233</v>
      </c>
      <c r="T50" s="360" t="s">
        <v>234</v>
      </c>
      <c r="U50" s="360" t="s">
        <v>235</v>
      </c>
      <c r="V50" s="361">
        <v>-3</v>
      </c>
      <c r="W50" s="362"/>
      <c r="X50" s="360" t="s">
        <v>16</v>
      </c>
      <c r="Y50" s="360" t="s">
        <v>224</v>
      </c>
      <c r="Z50" s="360" t="s">
        <v>225</v>
      </c>
      <c r="AA50" s="360" t="s">
        <v>226</v>
      </c>
      <c r="AB50" s="360" t="s">
        <v>227</v>
      </c>
      <c r="AC50" s="360" t="s">
        <v>228</v>
      </c>
      <c r="AD50" s="360" t="s">
        <v>229</v>
      </c>
      <c r="AE50" s="360" t="s">
        <v>230</v>
      </c>
      <c r="AF50" s="360" t="s">
        <v>231</v>
      </c>
      <c r="AG50" s="360" t="s">
        <v>232</v>
      </c>
      <c r="AH50" s="360" t="s">
        <v>233</v>
      </c>
      <c r="AI50" s="360" t="s">
        <v>234</v>
      </c>
      <c r="AJ50" s="360" t="s">
        <v>235</v>
      </c>
      <c r="AK50" s="363" t="s">
        <v>103</v>
      </c>
      <c r="AL50" s="364" t="s">
        <v>16</v>
      </c>
    </row>
    <row r="51" spans="1:38" ht="19.5" customHeight="1" thickBot="1">
      <c r="A51" s="375"/>
      <c r="B51" s="376"/>
      <c r="C51" s="376" t="s">
        <v>116</v>
      </c>
      <c r="D51" s="376" t="s">
        <v>117</v>
      </c>
      <c r="E51" s="376" t="s">
        <v>118</v>
      </c>
      <c r="F51" s="376"/>
      <c r="G51" s="376"/>
      <c r="H51" s="365"/>
      <c r="I51" s="240">
        <v>-1</v>
      </c>
      <c r="J51" s="366" t="s">
        <v>37</v>
      </c>
      <c r="K51" s="366" t="s">
        <v>37</v>
      </c>
      <c r="L51" s="366" t="s">
        <v>37</v>
      </c>
      <c r="M51" s="366" t="s">
        <v>37</v>
      </c>
      <c r="N51" s="366" t="s">
        <v>37</v>
      </c>
      <c r="O51" s="366" t="s">
        <v>37</v>
      </c>
      <c r="P51" s="366" t="s">
        <v>37</v>
      </c>
      <c r="Q51" s="366" t="s">
        <v>37</v>
      </c>
      <c r="R51" s="366" t="s">
        <v>37</v>
      </c>
      <c r="S51" s="366" t="s">
        <v>37</v>
      </c>
      <c r="T51" s="366" t="s">
        <v>37</v>
      </c>
      <c r="U51" s="366" t="s">
        <v>37</v>
      </c>
      <c r="V51" s="367" t="s">
        <v>236</v>
      </c>
      <c r="W51" s="367" t="s">
        <v>237</v>
      </c>
      <c r="X51" s="240" t="s">
        <v>238</v>
      </c>
      <c r="Y51" s="240">
        <v>-5</v>
      </c>
      <c r="Z51" s="240">
        <v>-5</v>
      </c>
      <c r="AA51" s="240">
        <v>-5</v>
      </c>
      <c r="AB51" s="240">
        <v>-5</v>
      </c>
      <c r="AC51" s="240">
        <v>-5</v>
      </c>
      <c r="AD51" s="240">
        <v>-5</v>
      </c>
      <c r="AE51" s="240">
        <v>-5</v>
      </c>
      <c r="AF51" s="240">
        <v>-5</v>
      </c>
      <c r="AG51" s="240">
        <v>-5</v>
      </c>
      <c r="AH51" s="240">
        <v>-5</v>
      </c>
      <c r="AI51" s="240">
        <v>-5</v>
      </c>
      <c r="AJ51" s="240">
        <v>-5</v>
      </c>
      <c r="AK51" s="240" t="s">
        <v>239</v>
      </c>
      <c r="AL51" s="368" t="s">
        <v>240</v>
      </c>
    </row>
    <row r="52" spans="1:38" ht="19.5" customHeight="1" thickBot="1" thickTop="1">
      <c r="A52" s="340"/>
      <c r="B52" s="340"/>
      <c r="C52" s="340"/>
      <c r="D52" s="340"/>
      <c r="E52" s="340"/>
      <c r="F52" s="340"/>
      <c r="G52" s="340"/>
      <c r="H52" s="341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1"/>
      <c r="W52" s="341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1"/>
      <c r="AL52" s="340"/>
    </row>
    <row r="53" spans="1:38" ht="24.75" customHeight="1" thickBot="1" thickTop="1">
      <c r="A53" s="400" t="s">
        <v>177</v>
      </c>
      <c r="B53" s="401" t="s">
        <v>136</v>
      </c>
      <c r="C53" s="401" t="s">
        <v>242</v>
      </c>
      <c r="D53" s="401"/>
      <c r="E53" s="401"/>
      <c r="F53" s="401"/>
      <c r="G53" s="401"/>
      <c r="H53" s="402" t="s">
        <v>247</v>
      </c>
      <c r="I53" s="403">
        <f>SUM(J53:W53)</f>
        <v>14895162720.000002</v>
      </c>
      <c r="J53" s="401">
        <v>0</v>
      </c>
      <c r="K53" s="401">
        <v>5244758124</v>
      </c>
      <c r="L53" s="401">
        <v>0</v>
      </c>
      <c r="M53" s="401">
        <v>795158085.6</v>
      </c>
      <c r="N53" s="401">
        <v>1062790000</v>
      </c>
      <c r="O53" s="401">
        <v>0</v>
      </c>
      <c r="P53" s="401">
        <v>37000000</v>
      </c>
      <c r="Q53" s="401">
        <v>3164716509.6</v>
      </c>
      <c r="R53" s="401">
        <v>2007318159.6</v>
      </c>
      <c r="S53" s="401">
        <v>2499999999.6</v>
      </c>
      <c r="T53" s="401">
        <v>9511841</v>
      </c>
      <c r="U53" s="401">
        <v>73910000.6</v>
      </c>
      <c r="V53" s="404">
        <v>0</v>
      </c>
      <c r="W53" s="404">
        <v>0</v>
      </c>
      <c r="X53" s="403">
        <f>SUM($J53:U53,V53:W53)</f>
        <v>14895162720.000002</v>
      </c>
      <c r="Y53" s="401">
        <f>'Cuentas por Pagar'!AK39</f>
        <v>0</v>
      </c>
      <c r="Z53" s="401">
        <f>'Cuentas por Pagar'!AL39</f>
        <v>644712983</v>
      </c>
      <c r="AA53" s="401">
        <f>'Cuentas por Pagar'!AM39</f>
        <v>4599828148</v>
      </c>
      <c r="AB53" s="401">
        <f>'Cuentas por Pagar'!AN39</f>
        <v>747567439</v>
      </c>
      <c r="AC53" s="401">
        <f>'Cuentas por Pagar'!AO39</f>
        <v>1108638543</v>
      </c>
      <c r="AD53" s="401">
        <f>'Cuentas por Pagar'!AP39</f>
        <v>0</v>
      </c>
      <c r="AE53" s="401">
        <f>'Cuentas por Pagar'!AQ39</f>
        <v>37496000</v>
      </c>
      <c r="AF53" s="401">
        <f>'Cuentas por Pagar'!AR39</f>
        <v>3164697410</v>
      </c>
      <c r="AG53" s="401">
        <f>'Cuentas por Pagar'!AS39</f>
        <v>2000407928</v>
      </c>
      <c r="AH53" s="401">
        <f>'Cuentas por Pagar'!AT39</f>
        <v>2508354893</v>
      </c>
      <c r="AI53" s="401">
        <f>'Cuentas por Pagar'!AU39</f>
        <v>9545279</v>
      </c>
      <c r="AJ53" s="401">
        <f>'Cuentas por Pagar'!AV39</f>
        <v>10435000</v>
      </c>
      <c r="AK53" s="411">
        <f>SUM(Y53:AJ53)</f>
        <v>14831683623</v>
      </c>
      <c r="AL53" s="399">
        <f>X53-AK53</f>
        <v>63479097.00000191</v>
      </c>
    </row>
    <row r="54" ht="19.5" customHeight="1" thickTop="1"/>
  </sheetData>
  <printOptions horizontalCentered="1" verticalCentered="1"/>
  <pageMargins left="0.36" right="0.4724409448818898" top="0.43" bottom="0.53" header="0" footer="0"/>
  <pageSetup fitToWidth="2" horizontalDpi="600" verticalDpi="600" orientation="landscape" paperSize="9" scale="46" r:id="rId2"/>
  <headerFooter alignWithMargins="0">
    <oddHeader>&amp;LGPR-&amp;D&amp;C&amp;"Arial,Bold"&amp;16INFORME EJECUCIÓN DEL PAC VIGENCIA Y CUENTAS POR PAGAR&amp;RPág. &amp;P/&amp;N</oddHeader>
    <oddFooter xml:space="preserve">&amp;L&amp;14JORGE NELSON GAITÁN LEÓN
Jefe de Presupuesto&amp;C&amp;14LUZ MARINA CHICA ARANGO
Directora General &amp;R&amp;14HUMBERTO RAMIREZ GARCIA
Subdirector Financiero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23"/>
  <sheetViews>
    <sheetView showGridLines="0" zoomScale="75" zoomScaleNormal="75" workbookViewId="0" topLeftCell="A1">
      <selection activeCell="A1" sqref="A1"/>
    </sheetView>
  </sheetViews>
  <sheetFormatPr defaultColWidth="16.7109375" defaultRowHeight="12.75"/>
  <cols>
    <col min="1" max="1" width="3.00390625" style="101" customWidth="1"/>
    <col min="2" max="2" width="4.7109375" style="101" customWidth="1"/>
    <col min="3" max="5" width="6.7109375" style="101" customWidth="1"/>
    <col min="6" max="6" width="4.7109375" style="101" customWidth="1"/>
    <col min="7" max="7" width="55.7109375" style="103" customWidth="1"/>
    <col min="8" max="10" width="16.7109375" style="98" customWidth="1"/>
    <col min="11" max="16" width="16.7109375" style="98" hidden="1" customWidth="1"/>
    <col min="17" max="17" width="16.7109375" style="104" hidden="1" customWidth="1"/>
    <col min="18" max="22" width="16.7109375" style="98" hidden="1" customWidth="1"/>
    <col min="23" max="23" width="16.7109375" style="98" customWidth="1"/>
    <col min="24" max="29" width="16.7109375" style="98" hidden="1" customWidth="1"/>
    <col min="30" max="30" width="16.7109375" style="104" hidden="1" customWidth="1"/>
    <col min="31" max="35" width="16.7109375" style="98" hidden="1" customWidth="1"/>
    <col min="36" max="36" width="16.7109375" style="98" customWidth="1"/>
    <col min="37" max="42" width="16.7109375" style="98" hidden="1" customWidth="1"/>
    <col min="43" max="43" width="16.7109375" style="104" hidden="1" customWidth="1"/>
    <col min="44" max="48" width="16.7109375" style="98" hidden="1" customWidth="1"/>
    <col min="49" max="16384" width="16.7109375" style="98" customWidth="1"/>
  </cols>
  <sheetData>
    <row r="1" spans="1:51" ht="24" customHeight="1">
      <c r="A1" s="92"/>
      <c r="B1" s="107"/>
      <c r="C1" s="28" t="s">
        <v>0</v>
      </c>
      <c r="D1" s="107"/>
      <c r="E1" s="107"/>
      <c r="F1" s="107"/>
      <c r="G1" s="93"/>
      <c r="H1" s="109" t="s">
        <v>1</v>
      </c>
      <c r="I1" s="110" t="s">
        <v>2</v>
      </c>
      <c r="J1" s="96" t="s">
        <v>3</v>
      </c>
      <c r="K1" s="118" t="s">
        <v>4</v>
      </c>
      <c r="L1" s="119" t="s">
        <v>5</v>
      </c>
      <c r="M1" s="119" t="s">
        <v>6</v>
      </c>
      <c r="N1" s="119" t="s">
        <v>7</v>
      </c>
      <c r="O1" s="119" t="s">
        <v>8</v>
      </c>
      <c r="P1" s="119" t="s">
        <v>9</v>
      </c>
      <c r="Q1" s="120" t="s">
        <v>10</v>
      </c>
      <c r="R1" s="119" t="s">
        <v>11</v>
      </c>
      <c r="S1" s="119" t="s">
        <v>12</v>
      </c>
      <c r="T1" s="119" t="s">
        <v>13</v>
      </c>
      <c r="U1" s="119" t="s">
        <v>14</v>
      </c>
      <c r="V1" s="119" t="s">
        <v>15</v>
      </c>
      <c r="W1" s="232" t="s">
        <v>16</v>
      </c>
      <c r="X1" s="118" t="s">
        <v>4</v>
      </c>
      <c r="Y1" s="119" t="s">
        <v>5</v>
      </c>
      <c r="Z1" s="119" t="s">
        <v>6</v>
      </c>
      <c r="AA1" s="119" t="s">
        <v>7</v>
      </c>
      <c r="AB1" s="119" t="s">
        <v>8</v>
      </c>
      <c r="AC1" s="119" t="s">
        <v>9</v>
      </c>
      <c r="AD1" s="120" t="s">
        <v>10</v>
      </c>
      <c r="AE1" s="119" t="s">
        <v>11</v>
      </c>
      <c r="AF1" s="119" t="s">
        <v>12</v>
      </c>
      <c r="AG1" s="119" t="s">
        <v>13</v>
      </c>
      <c r="AH1" s="119" t="s">
        <v>14</v>
      </c>
      <c r="AI1" s="119" t="s">
        <v>15</v>
      </c>
      <c r="AJ1" s="232" t="s">
        <v>16</v>
      </c>
      <c r="AK1" s="118" t="s">
        <v>4</v>
      </c>
      <c r="AL1" s="195" t="s">
        <v>5</v>
      </c>
      <c r="AM1" s="195" t="s">
        <v>6</v>
      </c>
      <c r="AN1" s="195" t="s">
        <v>7</v>
      </c>
      <c r="AO1" s="195" t="s">
        <v>8</v>
      </c>
      <c r="AP1" s="195" t="s">
        <v>9</v>
      </c>
      <c r="AQ1" s="196" t="s">
        <v>10</v>
      </c>
      <c r="AR1" s="195" t="s">
        <v>11</v>
      </c>
      <c r="AS1" s="195" t="s">
        <v>12</v>
      </c>
      <c r="AT1" s="195" t="s">
        <v>13</v>
      </c>
      <c r="AU1" s="195" t="s">
        <v>14</v>
      </c>
      <c r="AV1" s="195" t="s">
        <v>15</v>
      </c>
      <c r="AW1" s="234" t="s">
        <v>16</v>
      </c>
      <c r="AX1" s="199" t="s">
        <v>17</v>
      </c>
      <c r="AY1" s="200"/>
    </row>
    <row r="2" spans="1:51" ht="24" customHeight="1" thickBot="1">
      <c r="A2" s="94"/>
      <c r="B2" s="108"/>
      <c r="C2" s="5" t="s">
        <v>18</v>
      </c>
      <c r="D2" s="108"/>
      <c r="E2" s="108"/>
      <c r="F2" s="108"/>
      <c r="G2" s="95"/>
      <c r="H2" s="113" t="s">
        <v>19</v>
      </c>
      <c r="I2" s="114"/>
      <c r="J2" s="97" t="s">
        <v>20</v>
      </c>
      <c r="K2" s="121" t="s">
        <v>21</v>
      </c>
      <c r="L2" s="122">
        <v>2001</v>
      </c>
      <c r="M2" s="122">
        <v>2001</v>
      </c>
      <c r="N2" s="122">
        <v>2001</v>
      </c>
      <c r="O2" s="122">
        <v>2001</v>
      </c>
      <c r="P2" s="122">
        <v>2001</v>
      </c>
      <c r="Q2" s="123">
        <v>2001</v>
      </c>
      <c r="R2" s="122">
        <v>2001</v>
      </c>
      <c r="S2" s="122">
        <v>2001</v>
      </c>
      <c r="T2" s="122">
        <v>2001</v>
      </c>
      <c r="U2" s="122">
        <v>2001</v>
      </c>
      <c r="V2" s="122">
        <v>2001</v>
      </c>
      <c r="W2" s="233" t="s">
        <v>21</v>
      </c>
      <c r="X2" s="121" t="s">
        <v>21</v>
      </c>
      <c r="Y2" s="122">
        <v>2001</v>
      </c>
      <c r="Z2" s="122">
        <v>2001</v>
      </c>
      <c r="AA2" s="122">
        <v>2001</v>
      </c>
      <c r="AB2" s="122">
        <v>2001</v>
      </c>
      <c r="AC2" s="122">
        <v>2001</v>
      </c>
      <c r="AD2" s="123">
        <v>2001</v>
      </c>
      <c r="AE2" s="122">
        <v>2001</v>
      </c>
      <c r="AF2" s="122">
        <v>2001</v>
      </c>
      <c r="AG2" s="122">
        <v>2001</v>
      </c>
      <c r="AH2" s="122">
        <v>2001</v>
      </c>
      <c r="AI2" s="122">
        <v>2001</v>
      </c>
      <c r="AJ2" s="233" t="s">
        <v>21</v>
      </c>
      <c r="AK2" s="121" t="s">
        <v>21</v>
      </c>
      <c r="AL2" s="197">
        <v>2001</v>
      </c>
      <c r="AM2" s="197">
        <v>2001</v>
      </c>
      <c r="AN2" s="197">
        <v>2001</v>
      </c>
      <c r="AO2" s="197">
        <v>2001</v>
      </c>
      <c r="AP2" s="197">
        <v>2001</v>
      </c>
      <c r="AQ2" s="198">
        <v>2001</v>
      </c>
      <c r="AR2" s="197">
        <v>2001</v>
      </c>
      <c r="AS2" s="197">
        <v>2001</v>
      </c>
      <c r="AT2" s="197">
        <v>2001</v>
      </c>
      <c r="AU2" s="197">
        <v>2001</v>
      </c>
      <c r="AV2" s="197">
        <v>2001</v>
      </c>
      <c r="AW2" s="235" t="s">
        <v>21</v>
      </c>
      <c r="AX2" s="201">
        <f ca="1">TODAY()-4</f>
        <v>37833</v>
      </c>
      <c r="AY2" s="202"/>
    </row>
    <row r="3" spans="1:51" ht="13.5" thickBot="1">
      <c r="A3" s="38"/>
      <c r="B3" s="38"/>
      <c r="C3" s="38"/>
      <c r="D3" s="38"/>
      <c r="E3" s="38"/>
      <c r="F3" s="38"/>
      <c r="G3" s="39"/>
      <c r="H3" s="36"/>
      <c r="I3" s="36"/>
      <c r="J3" s="36"/>
      <c r="K3" s="36"/>
      <c r="L3" s="36"/>
      <c r="M3" s="36"/>
      <c r="N3" s="36"/>
      <c r="O3" s="36"/>
      <c r="P3" s="36"/>
      <c r="Q3" s="40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40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40"/>
      <c r="AR3" s="36"/>
      <c r="AS3" s="36"/>
      <c r="AT3" s="36"/>
      <c r="AU3" s="36"/>
      <c r="AV3" s="36"/>
      <c r="AW3" s="36"/>
      <c r="AX3" s="36"/>
      <c r="AY3" s="36"/>
    </row>
    <row r="4" spans="1:51" ht="12.75">
      <c r="A4" s="143" t="s">
        <v>98</v>
      </c>
      <c r="B4" s="144"/>
      <c r="C4" s="144"/>
      <c r="D4" s="144"/>
      <c r="E4" s="144"/>
      <c r="F4" s="144"/>
      <c r="G4" s="145"/>
      <c r="H4" s="146" t="s">
        <v>99</v>
      </c>
      <c r="I4" s="147" t="s">
        <v>251</v>
      </c>
      <c r="J4" s="148" t="s">
        <v>99</v>
      </c>
      <c r="K4" s="146" t="s">
        <v>101</v>
      </c>
      <c r="L4" s="149" t="s">
        <v>101</v>
      </c>
      <c r="M4" s="149" t="s">
        <v>101</v>
      </c>
      <c r="N4" s="149" t="s">
        <v>101</v>
      </c>
      <c r="O4" s="149" t="s">
        <v>101</v>
      </c>
      <c r="P4" s="149" t="s">
        <v>101</v>
      </c>
      <c r="Q4" s="150" t="s">
        <v>101</v>
      </c>
      <c r="R4" s="149" t="s">
        <v>101</v>
      </c>
      <c r="S4" s="149" t="s">
        <v>101</v>
      </c>
      <c r="T4" s="149" t="s">
        <v>101</v>
      </c>
      <c r="U4" s="149" t="s">
        <v>101</v>
      </c>
      <c r="V4" s="149" t="s">
        <v>101</v>
      </c>
      <c r="W4" s="151" t="s">
        <v>101</v>
      </c>
      <c r="X4" s="146" t="s">
        <v>102</v>
      </c>
      <c r="Y4" s="149" t="s">
        <v>102</v>
      </c>
      <c r="Z4" s="149" t="s">
        <v>102</v>
      </c>
      <c r="AA4" s="149" t="s">
        <v>102</v>
      </c>
      <c r="AB4" s="149" t="s">
        <v>102</v>
      </c>
      <c r="AC4" s="149" t="s">
        <v>102</v>
      </c>
      <c r="AD4" s="150" t="s">
        <v>102</v>
      </c>
      <c r="AE4" s="149" t="s">
        <v>102</v>
      </c>
      <c r="AF4" s="149" t="s">
        <v>102</v>
      </c>
      <c r="AG4" s="149" t="s">
        <v>102</v>
      </c>
      <c r="AH4" s="149" t="s">
        <v>102</v>
      </c>
      <c r="AI4" s="149" t="s">
        <v>102</v>
      </c>
      <c r="AJ4" s="151" t="s">
        <v>102</v>
      </c>
      <c r="AK4" s="146" t="s">
        <v>103</v>
      </c>
      <c r="AL4" s="173" t="s">
        <v>103</v>
      </c>
      <c r="AM4" s="173" t="s">
        <v>103</v>
      </c>
      <c r="AN4" s="173" t="s">
        <v>103</v>
      </c>
      <c r="AO4" s="173" t="s">
        <v>103</v>
      </c>
      <c r="AP4" s="173" t="s">
        <v>103</v>
      </c>
      <c r="AQ4" s="174" t="s">
        <v>103</v>
      </c>
      <c r="AR4" s="173" t="s">
        <v>103</v>
      </c>
      <c r="AS4" s="173" t="s">
        <v>103</v>
      </c>
      <c r="AT4" s="173" t="s">
        <v>103</v>
      </c>
      <c r="AU4" s="173" t="s">
        <v>103</v>
      </c>
      <c r="AV4" s="173" t="s">
        <v>103</v>
      </c>
      <c r="AW4" s="148" t="s">
        <v>103</v>
      </c>
      <c r="AX4" s="146" t="s">
        <v>26</v>
      </c>
      <c r="AY4" s="148" t="s">
        <v>26</v>
      </c>
    </row>
    <row r="5" spans="1:51" ht="12.75">
      <c r="A5" s="152" t="s">
        <v>106</v>
      </c>
      <c r="B5" s="153" t="s">
        <v>107</v>
      </c>
      <c r="C5" s="154" t="s">
        <v>108</v>
      </c>
      <c r="D5" s="153" t="s">
        <v>109</v>
      </c>
      <c r="E5" s="153" t="s">
        <v>110</v>
      </c>
      <c r="F5" s="153" t="s">
        <v>111</v>
      </c>
      <c r="G5" s="155" t="s">
        <v>28</v>
      </c>
      <c r="H5" s="156" t="s">
        <v>30</v>
      </c>
      <c r="I5" s="157"/>
      <c r="J5" s="159" t="s">
        <v>113</v>
      </c>
      <c r="K5" s="156" t="s">
        <v>4</v>
      </c>
      <c r="L5" s="160" t="s">
        <v>5</v>
      </c>
      <c r="M5" s="160" t="s">
        <v>6</v>
      </c>
      <c r="N5" s="160" t="s">
        <v>7</v>
      </c>
      <c r="O5" s="160" t="s">
        <v>8</v>
      </c>
      <c r="P5" s="160" t="s">
        <v>9</v>
      </c>
      <c r="Q5" s="161" t="s">
        <v>10</v>
      </c>
      <c r="R5" s="160" t="s">
        <v>11</v>
      </c>
      <c r="S5" s="160" t="s">
        <v>12</v>
      </c>
      <c r="T5" s="160" t="s">
        <v>13</v>
      </c>
      <c r="U5" s="160" t="s">
        <v>14</v>
      </c>
      <c r="V5" s="160" t="s">
        <v>15</v>
      </c>
      <c r="W5" s="162" t="s">
        <v>34</v>
      </c>
      <c r="X5" s="156" t="s">
        <v>4</v>
      </c>
      <c r="Y5" s="160" t="s">
        <v>5</v>
      </c>
      <c r="Z5" s="160" t="s">
        <v>6</v>
      </c>
      <c r="AA5" s="160" t="s">
        <v>7</v>
      </c>
      <c r="AB5" s="160" t="s">
        <v>8</v>
      </c>
      <c r="AC5" s="160" t="s">
        <v>9</v>
      </c>
      <c r="AD5" s="161" t="s">
        <v>10</v>
      </c>
      <c r="AE5" s="160" t="s">
        <v>11</v>
      </c>
      <c r="AF5" s="160" t="s">
        <v>12</v>
      </c>
      <c r="AG5" s="160" t="s">
        <v>13</v>
      </c>
      <c r="AH5" s="160" t="s">
        <v>14</v>
      </c>
      <c r="AI5" s="160" t="s">
        <v>15</v>
      </c>
      <c r="AJ5" s="162" t="s">
        <v>34</v>
      </c>
      <c r="AK5" s="156" t="s">
        <v>4</v>
      </c>
      <c r="AL5" s="158" t="s">
        <v>5</v>
      </c>
      <c r="AM5" s="158" t="s">
        <v>6</v>
      </c>
      <c r="AN5" s="158" t="s">
        <v>7</v>
      </c>
      <c r="AO5" s="158" t="s">
        <v>8</v>
      </c>
      <c r="AP5" s="158" t="s">
        <v>9</v>
      </c>
      <c r="AQ5" s="172" t="s">
        <v>10</v>
      </c>
      <c r="AR5" s="158" t="s">
        <v>11</v>
      </c>
      <c r="AS5" s="158" t="s">
        <v>12</v>
      </c>
      <c r="AT5" s="158" t="s">
        <v>13</v>
      </c>
      <c r="AU5" s="158" t="s">
        <v>14</v>
      </c>
      <c r="AV5" s="158" t="s">
        <v>15</v>
      </c>
      <c r="AW5" s="159" t="s">
        <v>34</v>
      </c>
      <c r="AX5" s="156" t="s">
        <v>99</v>
      </c>
      <c r="AY5" s="159" t="s">
        <v>115</v>
      </c>
    </row>
    <row r="6" spans="1:51" ht="13.5" thickBot="1">
      <c r="A6" s="163"/>
      <c r="B6" s="164"/>
      <c r="C6" s="164" t="s">
        <v>116</v>
      </c>
      <c r="D6" s="164" t="s">
        <v>117</v>
      </c>
      <c r="E6" s="164" t="s">
        <v>118</v>
      </c>
      <c r="F6" s="164"/>
      <c r="G6" s="165"/>
      <c r="H6" s="166" t="s">
        <v>36</v>
      </c>
      <c r="I6" s="167" t="s">
        <v>252</v>
      </c>
      <c r="J6" s="168" t="s">
        <v>124</v>
      </c>
      <c r="K6" s="166"/>
      <c r="L6" s="169"/>
      <c r="M6" s="169"/>
      <c r="N6" s="169"/>
      <c r="O6" s="169"/>
      <c r="P6" s="169"/>
      <c r="Q6" s="170"/>
      <c r="R6" s="169"/>
      <c r="S6" s="169"/>
      <c r="T6" s="169"/>
      <c r="U6" s="169"/>
      <c r="V6" s="169"/>
      <c r="W6" s="171" t="s">
        <v>128</v>
      </c>
      <c r="X6" s="166"/>
      <c r="Y6" s="169"/>
      <c r="Z6" s="169"/>
      <c r="AA6" s="169"/>
      <c r="AB6" s="169"/>
      <c r="AC6" s="169"/>
      <c r="AD6" s="170"/>
      <c r="AE6" s="169"/>
      <c r="AF6" s="169"/>
      <c r="AG6" s="169"/>
      <c r="AH6" s="169"/>
      <c r="AI6" s="169"/>
      <c r="AJ6" s="171"/>
      <c r="AK6" s="166"/>
      <c r="AL6" s="167"/>
      <c r="AM6" s="167"/>
      <c r="AN6" s="167"/>
      <c r="AO6" s="167"/>
      <c r="AP6" s="167"/>
      <c r="AQ6" s="175"/>
      <c r="AR6" s="167"/>
      <c r="AS6" s="167"/>
      <c r="AT6" s="167"/>
      <c r="AU6" s="167"/>
      <c r="AV6" s="167"/>
      <c r="AW6" s="176" t="s">
        <v>40</v>
      </c>
      <c r="AX6" s="166" t="s">
        <v>129</v>
      </c>
      <c r="AY6" s="168" t="s">
        <v>130</v>
      </c>
    </row>
    <row r="7" spans="1:51" ht="14.25" customHeight="1" thickBot="1">
      <c r="A7" s="38"/>
      <c r="B7" s="38"/>
      <c r="C7" s="38"/>
      <c r="D7" s="38"/>
      <c r="E7" s="38"/>
      <c r="F7" s="38"/>
      <c r="G7" s="39"/>
      <c r="H7" s="36"/>
      <c r="I7" s="36"/>
      <c r="J7" s="36"/>
      <c r="K7" s="36"/>
      <c r="L7" s="36"/>
      <c r="M7" s="36"/>
      <c r="N7" s="36"/>
      <c r="O7" s="36"/>
      <c r="P7" s="36"/>
      <c r="Q7" s="40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40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40"/>
      <c r="AR7" s="36"/>
      <c r="AS7" s="36"/>
      <c r="AT7" s="36"/>
      <c r="AU7" s="36"/>
      <c r="AV7" s="36"/>
      <c r="AW7" s="36"/>
      <c r="AX7" s="36"/>
      <c r="AY7" s="36"/>
    </row>
    <row r="8" spans="1:51" ht="13.5" thickBot="1">
      <c r="A8" s="124" t="s">
        <v>132</v>
      </c>
      <c r="B8" s="125"/>
      <c r="C8" s="125"/>
      <c r="D8" s="125"/>
      <c r="E8" s="125"/>
      <c r="F8" s="125"/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8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8"/>
      <c r="AR8" s="127"/>
      <c r="AS8" s="127"/>
      <c r="AT8" s="127"/>
      <c r="AU8" s="127"/>
      <c r="AV8" s="127"/>
      <c r="AW8" s="127"/>
      <c r="AX8" s="127"/>
      <c r="AY8" s="129"/>
    </row>
    <row r="9" spans="1:51" ht="13.5" thickBot="1">
      <c r="A9" s="38"/>
      <c r="B9" s="38"/>
      <c r="C9" s="38"/>
      <c r="D9" s="38"/>
      <c r="E9" s="38"/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40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40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40"/>
      <c r="AR9" s="36"/>
      <c r="AS9" s="36"/>
      <c r="AT9" s="36"/>
      <c r="AU9" s="36"/>
      <c r="AV9" s="36"/>
      <c r="AW9" s="36"/>
      <c r="AX9" s="36"/>
      <c r="AY9" s="36"/>
    </row>
    <row r="10" spans="1:51" ht="30.75" customHeight="1" thickBot="1">
      <c r="A10" s="179" t="s">
        <v>177</v>
      </c>
      <c r="B10" s="180"/>
      <c r="C10" s="180"/>
      <c r="D10" s="180"/>
      <c r="E10" s="180"/>
      <c r="F10" s="180"/>
      <c r="G10" s="203" t="s">
        <v>179</v>
      </c>
      <c r="H10" s="182">
        <f>H11</f>
        <v>78480771</v>
      </c>
      <c r="I10" s="183">
        <f aca="true" t="shared" si="0" ref="I10:AY10">I11</f>
        <v>0</v>
      </c>
      <c r="J10" s="184">
        <f t="shared" si="0"/>
        <v>78480771</v>
      </c>
      <c r="K10" s="182">
        <f t="shared" si="0"/>
        <v>78480771</v>
      </c>
      <c r="L10" s="183">
        <f t="shared" si="0"/>
        <v>0</v>
      </c>
      <c r="M10" s="183">
        <f t="shared" si="0"/>
        <v>0</v>
      </c>
      <c r="N10" s="183">
        <f t="shared" si="0"/>
        <v>0</v>
      </c>
      <c r="O10" s="183">
        <f t="shared" si="0"/>
        <v>0</v>
      </c>
      <c r="P10" s="183">
        <f t="shared" si="0"/>
        <v>0</v>
      </c>
      <c r="Q10" s="185">
        <f t="shared" si="0"/>
        <v>0</v>
      </c>
      <c r="R10" s="183">
        <f t="shared" si="0"/>
        <v>0</v>
      </c>
      <c r="S10" s="183">
        <f t="shared" si="0"/>
        <v>0</v>
      </c>
      <c r="T10" s="183">
        <f t="shared" si="0"/>
        <v>0</v>
      </c>
      <c r="U10" s="183">
        <f t="shared" si="0"/>
        <v>0</v>
      </c>
      <c r="V10" s="183">
        <f t="shared" si="0"/>
        <v>0</v>
      </c>
      <c r="W10" s="184">
        <f t="shared" si="0"/>
        <v>78480771</v>
      </c>
      <c r="X10" s="182">
        <f t="shared" si="0"/>
        <v>0</v>
      </c>
      <c r="Y10" s="183">
        <f t="shared" si="0"/>
        <v>0</v>
      </c>
      <c r="Z10" s="183">
        <f t="shared" si="0"/>
        <v>0</v>
      </c>
      <c r="AA10" s="183">
        <f t="shared" si="0"/>
        <v>0</v>
      </c>
      <c r="AB10" s="183">
        <f t="shared" si="0"/>
        <v>0</v>
      </c>
      <c r="AC10" s="183">
        <f t="shared" si="0"/>
        <v>21975169</v>
      </c>
      <c r="AD10" s="185">
        <f t="shared" si="0"/>
        <v>19981286</v>
      </c>
      <c r="AE10" s="183">
        <f t="shared" si="0"/>
        <v>0</v>
      </c>
      <c r="AF10" s="183">
        <f t="shared" si="0"/>
        <v>8534949</v>
      </c>
      <c r="AG10" s="183">
        <f t="shared" si="0"/>
        <v>0</v>
      </c>
      <c r="AH10" s="183">
        <f t="shared" si="0"/>
        <v>0</v>
      </c>
      <c r="AI10" s="183">
        <f t="shared" si="0"/>
        <v>27989367</v>
      </c>
      <c r="AJ10" s="184">
        <f t="shared" si="0"/>
        <v>78480771</v>
      </c>
      <c r="AK10" s="182">
        <f t="shared" si="0"/>
        <v>0</v>
      </c>
      <c r="AL10" s="183">
        <f t="shared" si="0"/>
        <v>0</v>
      </c>
      <c r="AM10" s="183">
        <f t="shared" si="0"/>
        <v>0</v>
      </c>
      <c r="AN10" s="183">
        <f t="shared" si="0"/>
        <v>0</v>
      </c>
      <c r="AO10" s="183">
        <f t="shared" si="0"/>
        <v>0</v>
      </c>
      <c r="AP10" s="183">
        <f t="shared" si="0"/>
        <v>21975169</v>
      </c>
      <c r="AQ10" s="185">
        <f t="shared" si="0"/>
        <v>19981286</v>
      </c>
      <c r="AR10" s="183">
        <f t="shared" si="0"/>
        <v>0</v>
      </c>
      <c r="AS10" s="183">
        <f t="shared" si="0"/>
        <v>8534949</v>
      </c>
      <c r="AT10" s="183">
        <f t="shared" si="0"/>
        <v>0</v>
      </c>
      <c r="AU10" s="183">
        <f t="shared" si="0"/>
        <v>0</v>
      </c>
      <c r="AV10" s="183">
        <f t="shared" si="0"/>
        <v>27989367</v>
      </c>
      <c r="AW10" s="184">
        <f t="shared" si="0"/>
        <v>78480771</v>
      </c>
      <c r="AX10" s="183">
        <f t="shared" si="0"/>
        <v>0</v>
      </c>
      <c r="AY10" s="184">
        <f t="shared" si="0"/>
        <v>0</v>
      </c>
    </row>
    <row r="11" spans="1:51" ht="30.75" customHeight="1">
      <c r="A11" s="186" t="s">
        <v>177</v>
      </c>
      <c r="B11" s="187" t="s">
        <v>136</v>
      </c>
      <c r="C11" s="187" t="s">
        <v>253</v>
      </c>
      <c r="D11" s="187" t="s">
        <v>242</v>
      </c>
      <c r="E11" s="187" t="s">
        <v>242</v>
      </c>
      <c r="F11" s="187"/>
      <c r="G11" s="204" t="s">
        <v>254</v>
      </c>
      <c r="H11" s="190">
        <f>SUM(H12:H12)</f>
        <v>78480771</v>
      </c>
      <c r="I11" s="191">
        <f>SUM(I12:I12)</f>
        <v>0</v>
      </c>
      <c r="J11" s="192">
        <f>SUM(H11:I11)</f>
        <v>78480771</v>
      </c>
      <c r="K11" s="190">
        <f aca="true" t="shared" si="1" ref="K11:V11">SUM(K12:K12)</f>
        <v>78480771</v>
      </c>
      <c r="L11" s="191">
        <f t="shared" si="1"/>
        <v>0</v>
      </c>
      <c r="M11" s="191">
        <f t="shared" si="1"/>
        <v>0</v>
      </c>
      <c r="N11" s="191">
        <f t="shared" si="1"/>
        <v>0</v>
      </c>
      <c r="O11" s="191">
        <f t="shared" si="1"/>
        <v>0</v>
      </c>
      <c r="P11" s="191">
        <f t="shared" si="1"/>
        <v>0</v>
      </c>
      <c r="Q11" s="193">
        <f t="shared" si="1"/>
        <v>0</v>
      </c>
      <c r="R11" s="191">
        <f t="shared" si="1"/>
        <v>0</v>
      </c>
      <c r="S11" s="191">
        <f t="shared" si="1"/>
        <v>0</v>
      </c>
      <c r="T11" s="191">
        <f t="shared" si="1"/>
        <v>0</v>
      </c>
      <c r="U11" s="191">
        <f t="shared" si="1"/>
        <v>0</v>
      </c>
      <c r="V11" s="191">
        <f t="shared" si="1"/>
        <v>0</v>
      </c>
      <c r="W11" s="192">
        <f>SUM(K11:V11)</f>
        <v>78480771</v>
      </c>
      <c r="X11" s="190">
        <f aca="true" t="shared" si="2" ref="X11:AI11">SUM(X12:X12)</f>
        <v>0</v>
      </c>
      <c r="Y11" s="191">
        <f t="shared" si="2"/>
        <v>0</v>
      </c>
      <c r="Z11" s="191">
        <f t="shared" si="2"/>
        <v>0</v>
      </c>
      <c r="AA11" s="191">
        <f t="shared" si="2"/>
        <v>0</v>
      </c>
      <c r="AB11" s="191">
        <f t="shared" si="2"/>
        <v>0</v>
      </c>
      <c r="AC11" s="191">
        <f t="shared" si="2"/>
        <v>21975169</v>
      </c>
      <c r="AD11" s="193">
        <f t="shared" si="2"/>
        <v>19981286</v>
      </c>
      <c r="AE11" s="191">
        <f t="shared" si="2"/>
        <v>0</v>
      </c>
      <c r="AF11" s="191">
        <f t="shared" si="2"/>
        <v>8534949</v>
      </c>
      <c r="AG11" s="191">
        <f t="shared" si="2"/>
        <v>0</v>
      </c>
      <c r="AH11" s="191">
        <f t="shared" si="2"/>
        <v>0</v>
      </c>
      <c r="AI11" s="191">
        <f t="shared" si="2"/>
        <v>27989367</v>
      </c>
      <c r="AJ11" s="192">
        <f>SUM(X11:AI11)</f>
        <v>78480771</v>
      </c>
      <c r="AK11" s="190">
        <f aca="true" t="shared" si="3" ref="AK11:AV11">SUM(AK12:AK12)</f>
        <v>0</v>
      </c>
      <c r="AL11" s="191">
        <f t="shared" si="3"/>
        <v>0</v>
      </c>
      <c r="AM11" s="191">
        <f t="shared" si="3"/>
        <v>0</v>
      </c>
      <c r="AN11" s="191">
        <f t="shared" si="3"/>
        <v>0</v>
      </c>
      <c r="AO11" s="191">
        <f t="shared" si="3"/>
        <v>0</v>
      </c>
      <c r="AP11" s="191">
        <f t="shared" si="3"/>
        <v>21975169</v>
      </c>
      <c r="AQ11" s="193">
        <f t="shared" si="3"/>
        <v>19981286</v>
      </c>
      <c r="AR11" s="191">
        <f t="shared" si="3"/>
        <v>0</v>
      </c>
      <c r="AS11" s="191">
        <f t="shared" si="3"/>
        <v>8534949</v>
      </c>
      <c r="AT11" s="191">
        <f t="shared" si="3"/>
        <v>0</v>
      </c>
      <c r="AU11" s="191">
        <f t="shared" si="3"/>
        <v>0</v>
      </c>
      <c r="AV11" s="191">
        <f t="shared" si="3"/>
        <v>27989367</v>
      </c>
      <c r="AW11" s="192">
        <f>SUM(AK11:AV11)</f>
        <v>78480771</v>
      </c>
      <c r="AX11" s="300">
        <f>J11-W11</f>
        <v>0</v>
      </c>
      <c r="AY11" s="293">
        <f>W11-AW11</f>
        <v>0</v>
      </c>
    </row>
    <row r="12" spans="1:51" ht="30.75" customHeight="1" thickBot="1">
      <c r="A12" s="137" t="s">
        <v>177</v>
      </c>
      <c r="B12" s="138" t="s">
        <v>136</v>
      </c>
      <c r="C12" s="138" t="s">
        <v>253</v>
      </c>
      <c r="D12" s="138" t="s">
        <v>182</v>
      </c>
      <c r="E12" s="138" t="s">
        <v>255</v>
      </c>
      <c r="F12" s="138" t="s">
        <v>140</v>
      </c>
      <c r="G12" s="206" t="s">
        <v>256</v>
      </c>
      <c r="H12" s="178">
        <v>78480771</v>
      </c>
      <c r="I12" s="141">
        <v>0</v>
      </c>
      <c r="J12" s="273">
        <f>SUM(H12:I12)</f>
        <v>78480771</v>
      </c>
      <c r="K12" s="178">
        <f>J12</f>
        <v>78480771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2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273">
        <f>SUM(K12:V12)</f>
        <v>78480771</v>
      </c>
      <c r="X12" s="178">
        <f aca="true" t="shared" si="4" ref="X12:AI12">AK12</f>
        <v>0</v>
      </c>
      <c r="Y12" s="141">
        <f t="shared" si="4"/>
        <v>0</v>
      </c>
      <c r="Z12" s="141">
        <f t="shared" si="4"/>
        <v>0</v>
      </c>
      <c r="AA12" s="141">
        <f t="shared" si="4"/>
        <v>0</v>
      </c>
      <c r="AB12" s="141">
        <f t="shared" si="4"/>
        <v>0</v>
      </c>
      <c r="AC12" s="141">
        <f t="shared" si="4"/>
        <v>21975169</v>
      </c>
      <c r="AD12" s="142">
        <f t="shared" si="4"/>
        <v>19981286</v>
      </c>
      <c r="AE12" s="141">
        <f t="shared" si="4"/>
        <v>0</v>
      </c>
      <c r="AF12" s="141">
        <f t="shared" si="4"/>
        <v>8534949</v>
      </c>
      <c r="AG12" s="141">
        <f t="shared" si="4"/>
        <v>0</v>
      </c>
      <c r="AH12" s="141">
        <f t="shared" si="4"/>
        <v>0</v>
      </c>
      <c r="AI12" s="141">
        <f t="shared" si="4"/>
        <v>27989367</v>
      </c>
      <c r="AJ12" s="273">
        <f>SUM(X12:AI12)</f>
        <v>78480771</v>
      </c>
      <c r="AK12" s="178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21975169</v>
      </c>
      <c r="AQ12" s="142">
        <v>19981286</v>
      </c>
      <c r="AR12" s="141">
        <v>0</v>
      </c>
      <c r="AS12" s="141">
        <v>8534949</v>
      </c>
      <c r="AT12" s="141">
        <v>0</v>
      </c>
      <c r="AU12" s="141">
        <v>0</v>
      </c>
      <c r="AV12" s="141">
        <v>27989367</v>
      </c>
      <c r="AW12" s="273">
        <f>SUM(AK12:AV12)</f>
        <v>78480771</v>
      </c>
      <c r="AX12" s="304">
        <f>J12-W12</f>
        <v>0</v>
      </c>
      <c r="AY12" s="299">
        <f>W12-AW12</f>
        <v>0</v>
      </c>
    </row>
    <row r="13" ht="14.25" customHeight="1"/>
    <row r="15" spans="1:51" ht="12.75">
      <c r="A15" s="100" t="s">
        <v>211</v>
      </c>
      <c r="B15" s="100"/>
      <c r="C15" s="100"/>
      <c r="D15" s="100"/>
      <c r="E15" s="100"/>
      <c r="F15" s="100"/>
      <c r="G15" s="105"/>
      <c r="H15" s="99"/>
      <c r="I15" s="99"/>
      <c r="J15" s="99"/>
      <c r="K15" s="99"/>
      <c r="L15" s="99"/>
      <c r="M15" s="99"/>
      <c r="N15" s="99"/>
      <c r="O15" s="99"/>
      <c r="P15" s="99"/>
      <c r="Q15" s="106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106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106"/>
      <c r="AR15" s="99"/>
      <c r="AS15" s="99"/>
      <c r="AT15" s="99"/>
      <c r="AU15" s="99"/>
      <c r="AV15" s="99"/>
      <c r="AW15" s="99"/>
      <c r="AX15" s="99"/>
      <c r="AY15" s="99"/>
    </row>
    <row r="16" ht="13.5" thickBot="1"/>
    <row r="17" spans="1:51" ht="12.75">
      <c r="A17" s="37"/>
      <c r="B17" s="37"/>
      <c r="C17" s="37"/>
      <c r="D17" s="37"/>
      <c r="E17" s="37"/>
      <c r="F17" s="37"/>
      <c r="G17" s="207" t="s">
        <v>212</v>
      </c>
      <c r="H17" s="227">
        <f>H10</f>
        <v>78480771</v>
      </c>
      <c r="I17" s="208">
        <f aca="true" t="shared" si="5" ref="I17:AY17">I10</f>
        <v>0</v>
      </c>
      <c r="J17" s="210">
        <f t="shared" si="5"/>
        <v>78480771</v>
      </c>
      <c r="K17" s="227">
        <f t="shared" si="5"/>
        <v>78480771</v>
      </c>
      <c r="L17" s="208">
        <f t="shared" si="5"/>
        <v>0</v>
      </c>
      <c r="M17" s="208">
        <f t="shared" si="5"/>
        <v>0</v>
      </c>
      <c r="N17" s="208">
        <f t="shared" si="5"/>
        <v>0</v>
      </c>
      <c r="O17" s="208">
        <f t="shared" si="5"/>
        <v>0</v>
      </c>
      <c r="P17" s="208">
        <f t="shared" si="5"/>
        <v>0</v>
      </c>
      <c r="Q17" s="209">
        <f t="shared" si="5"/>
        <v>0</v>
      </c>
      <c r="R17" s="208">
        <f t="shared" si="5"/>
        <v>0</v>
      </c>
      <c r="S17" s="208">
        <f t="shared" si="5"/>
        <v>0</v>
      </c>
      <c r="T17" s="208">
        <f t="shared" si="5"/>
        <v>0</v>
      </c>
      <c r="U17" s="208">
        <f t="shared" si="5"/>
        <v>0</v>
      </c>
      <c r="V17" s="208">
        <f t="shared" si="5"/>
        <v>0</v>
      </c>
      <c r="W17" s="210">
        <f t="shared" si="5"/>
        <v>78480771</v>
      </c>
      <c r="X17" s="227">
        <f t="shared" si="5"/>
        <v>0</v>
      </c>
      <c r="Y17" s="208">
        <f t="shared" si="5"/>
        <v>0</v>
      </c>
      <c r="Z17" s="208">
        <f t="shared" si="5"/>
        <v>0</v>
      </c>
      <c r="AA17" s="208">
        <f t="shared" si="5"/>
        <v>0</v>
      </c>
      <c r="AB17" s="208">
        <f t="shared" si="5"/>
        <v>0</v>
      </c>
      <c r="AC17" s="208">
        <f t="shared" si="5"/>
        <v>21975169</v>
      </c>
      <c r="AD17" s="209">
        <f t="shared" si="5"/>
        <v>19981286</v>
      </c>
      <c r="AE17" s="208">
        <f t="shared" si="5"/>
        <v>0</v>
      </c>
      <c r="AF17" s="208">
        <f t="shared" si="5"/>
        <v>8534949</v>
      </c>
      <c r="AG17" s="208">
        <f t="shared" si="5"/>
        <v>0</v>
      </c>
      <c r="AH17" s="208">
        <f t="shared" si="5"/>
        <v>0</v>
      </c>
      <c r="AI17" s="208">
        <f t="shared" si="5"/>
        <v>27989367</v>
      </c>
      <c r="AJ17" s="210">
        <f t="shared" si="5"/>
        <v>78480771</v>
      </c>
      <c r="AK17" s="208">
        <f t="shared" si="5"/>
        <v>0</v>
      </c>
      <c r="AL17" s="208">
        <f t="shared" si="5"/>
        <v>0</v>
      </c>
      <c r="AM17" s="208">
        <f t="shared" si="5"/>
        <v>0</v>
      </c>
      <c r="AN17" s="208">
        <f t="shared" si="5"/>
        <v>0</v>
      </c>
      <c r="AO17" s="208">
        <f t="shared" si="5"/>
        <v>0</v>
      </c>
      <c r="AP17" s="208">
        <f t="shared" si="5"/>
        <v>21975169</v>
      </c>
      <c r="AQ17" s="209">
        <f t="shared" si="5"/>
        <v>19981286</v>
      </c>
      <c r="AR17" s="208">
        <f t="shared" si="5"/>
        <v>0</v>
      </c>
      <c r="AS17" s="208">
        <f t="shared" si="5"/>
        <v>8534949</v>
      </c>
      <c r="AT17" s="208">
        <f t="shared" si="5"/>
        <v>0</v>
      </c>
      <c r="AU17" s="208">
        <f t="shared" si="5"/>
        <v>0</v>
      </c>
      <c r="AV17" s="208">
        <f t="shared" si="5"/>
        <v>27989367</v>
      </c>
      <c r="AW17" s="208">
        <f t="shared" si="5"/>
        <v>78480771</v>
      </c>
      <c r="AX17" s="227">
        <f t="shared" si="5"/>
        <v>0</v>
      </c>
      <c r="AY17" s="210">
        <f t="shared" si="5"/>
        <v>0</v>
      </c>
    </row>
    <row r="18" spans="1:51" ht="13.5" thickBot="1">
      <c r="A18" s="37"/>
      <c r="B18" s="37"/>
      <c r="C18" s="37"/>
      <c r="D18" s="37"/>
      <c r="E18" s="37"/>
      <c r="F18" s="37"/>
      <c r="G18" s="211" t="s">
        <v>213</v>
      </c>
      <c r="H18" s="228">
        <v>0</v>
      </c>
      <c r="I18" s="212">
        <v>0</v>
      </c>
      <c r="J18" s="214">
        <v>0</v>
      </c>
      <c r="K18" s="228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3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4">
        <v>0</v>
      </c>
      <c r="X18" s="228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0</v>
      </c>
      <c r="AD18" s="213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4">
        <v>0</v>
      </c>
      <c r="AK18" s="212">
        <v>0</v>
      </c>
      <c r="AL18" s="212">
        <v>0</v>
      </c>
      <c r="AM18" s="212">
        <v>0</v>
      </c>
      <c r="AN18" s="212">
        <v>0</v>
      </c>
      <c r="AO18" s="212">
        <v>0</v>
      </c>
      <c r="AP18" s="212">
        <v>0</v>
      </c>
      <c r="AQ18" s="213">
        <v>0</v>
      </c>
      <c r="AR18" s="212">
        <v>0</v>
      </c>
      <c r="AS18" s="212">
        <v>0</v>
      </c>
      <c r="AT18" s="212">
        <v>0</v>
      </c>
      <c r="AU18" s="212">
        <v>0</v>
      </c>
      <c r="AV18" s="212">
        <v>0</v>
      </c>
      <c r="AW18" s="212">
        <v>0</v>
      </c>
      <c r="AX18" s="228">
        <v>0</v>
      </c>
      <c r="AY18" s="214">
        <v>0</v>
      </c>
    </row>
    <row r="19" ht="13.5" thickBot="1"/>
    <row r="20" spans="1:51" ht="12.75">
      <c r="A20" s="37"/>
      <c r="B20" s="37"/>
      <c r="C20" s="37"/>
      <c r="D20" s="37"/>
      <c r="E20" s="37"/>
      <c r="F20" s="37"/>
      <c r="G20" s="215" t="s">
        <v>135</v>
      </c>
      <c r="H20" s="229">
        <v>0</v>
      </c>
      <c r="I20" s="216" t="s">
        <v>257</v>
      </c>
      <c r="J20" s="218">
        <v>0</v>
      </c>
      <c r="K20" s="229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7">
        <v>0</v>
      </c>
      <c r="R20" s="216">
        <v>0</v>
      </c>
      <c r="S20" s="216">
        <v>0</v>
      </c>
      <c r="T20" s="216">
        <v>0</v>
      </c>
      <c r="U20" s="216">
        <v>0</v>
      </c>
      <c r="V20" s="216">
        <v>0</v>
      </c>
      <c r="W20" s="218">
        <v>0</v>
      </c>
      <c r="X20" s="229">
        <v>0</v>
      </c>
      <c r="Y20" s="216">
        <v>0</v>
      </c>
      <c r="Z20" s="216">
        <v>0</v>
      </c>
      <c r="AA20" s="216">
        <v>0</v>
      </c>
      <c r="AB20" s="216">
        <v>0</v>
      </c>
      <c r="AC20" s="216">
        <v>0</v>
      </c>
      <c r="AD20" s="217">
        <v>0</v>
      </c>
      <c r="AE20" s="216">
        <v>0</v>
      </c>
      <c r="AF20" s="216">
        <v>0</v>
      </c>
      <c r="AG20" s="216">
        <v>0</v>
      </c>
      <c r="AH20" s="216">
        <v>0</v>
      </c>
      <c r="AI20" s="216">
        <v>0</v>
      </c>
      <c r="AJ20" s="218">
        <v>0</v>
      </c>
      <c r="AK20" s="229">
        <v>0</v>
      </c>
      <c r="AL20" s="216">
        <v>0</v>
      </c>
      <c r="AM20" s="216">
        <v>0</v>
      </c>
      <c r="AN20" s="216">
        <v>0</v>
      </c>
      <c r="AO20" s="216">
        <v>0</v>
      </c>
      <c r="AP20" s="216">
        <v>0</v>
      </c>
      <c r="AQ20" s="217">
        <v>0</v>
      </c>
      <c r="AR20" s="216">
        <v>0</v>
      </c>
      <c r="AS20" s="216">
        <v>0</v>
      </c>
      <c r="AT20" s="216">
        <v>0</v>
      </c>
      <c r="AU20" s="216">
        <v>0</v>
      </c>
      <c r="AV20" s="216">
        <v>0</v>
      </c>
      <c r="AW20" s="218">
        <v>0</v>
      </c>
      <c r="AX20" s="229">
        <v>0</v>
      </c>
      <c r="AY20" s="218">
        <v>0</v>
      </c>
    </row>
    <row r="21" spans="1:51" ht="13.5" thickBot="1">
      <c r="A21" s="37"/>
      <c r="B21" s="37"/>
      <c r="C21" s="37"/>
      <c r="D21" s="37"/>
      <c r="E21" s="37"/>
      <c r="F21" s="37"/>
      <c r="G21" s="219" t="s">
        <v>178</v>
      </c>
      <c r="H21" s="230">
        <f>H10</f>
        <v>78480771</v>
      </c>
      <c r="I21" s="220">
        <f aca="true" t="shared" si="6" ref="I21:AY21">I10</f>
        <v>0</v>
      </c>
      <c r="J21" s="222">
        <f t="shared" si="6"/>
        <v>78480771</v>
      </c>
      <c r="K21" s="230">
        <f t="shared" si="6"/>
        <v>78480771</v>
      </c>
      <c r="L21" s="220">
        <f t="shared" si="6"/>
        <v>0</v>
      </c>
      <c r="M21" s="220">
        <f t="shared" si="6"/>
        <v>0</v>
      </c>
      <c r="N21" s="220">
        <f t="shared" si="6"/>
        <v>0</v>
      </c>
      <c r="O21" s="220">
        <f t="shared" si="6"/>
        <v>0</v>
      </c>
      <c r="P21" s="220">
        <f t="shared" si="6"/>
        <v>0</v>
      </c>
      <c r="Q21" s="221">
        <f t="shared" si="6"/>
        <v>0</v>
      </c>
      <c r="R21" s="220">
        <f t="shared" si="6"/>
        <v>0</v>
      </c>
      <c r="S21" s="220">
        <f t="shared" si="6"/>
        <v>0</v>
      </c>
      <c r="T21" s="220">
        <f t="shared" si="6"/>
        <v>0</v>
      </c>
      <c r="U21" s="220">
        <f t="shared" si="6"/>
        <v>0</v>
      </c>
      <c r="V21" s="220">
        <f t="shared" si="6"/>
        <v>0</v>
      </c>
      <c r="W21" s="222">
        <f t="shared" si="6"/>
        <v>78480771</v>
      </c>
      <c r="X21" s="230">
        <f t="shared" si="6"/>
        <v>0</v>
      </c>
      <c r="Y21" s="220">
        <f t="shared" si="6"/>
        <v>0</v>
      </c>
      <c r="Z21" s="220">
        <f t="shared" si="6"/>
        <v>0</v>
      </c>
      <c r="AA21" s="220">
        <f t="shared" si="6"/>
        <v>0</v>
      </c>
      <c r="AB21" s="220">
        <f t="shared" si="6"/>
        <v>0</v>
      </c>
      <c r="AC21" s="220">
        <f t="shared" si="6"/>
        <v>21975169</v>
      </c>
      <c r="AD21" s="221">
        <f t="shared" si="6"/>
        <v>19981286</v>
      </c>
      <c r="AE21" s="220">
        <f t="shared" si="6"/>
        <v>0</v>
      </c>
      <c r="AF21" s="220">
        <f t="shared" si="6"/>
        <v>8534949</v>
      </c>
      <c r="AG21" s="220">
        <f t="shared" si="6"/>
        <v>0</v>
      </c>
      <c r="AH21" s="220">
        <f t="shared" si="6"/>
        <v>0</v>
      </c>
      <c r="AI21" s="220">
        <f t="shared" si="6"/>
        <v>27989367</v>
      </c>
      <c r="AJ21" s="222">
        <f t="shared" si="6"/>
        <v>78480771</v>
      </c>
      <c r="AK21" s="230">
        <f t="shared" si="6"/>
        <v>0</v>
      </c>
      <c r="AL21" s="220">
        <f t="shared" si="6"/>
        <v>0</v>
      </c>
      <c r="AM21" s="220">
        <f t="shared" si="6"/>
        <v>0</v>
      </c>
      <c r="AN21" s="220">
        <f t="shared" si="6"/>
        <v>0</v>
      </c>
      <c r="AO21" s="220">
        <f t="shared" si="6"/>
        <v>0</v>
      </c>
      <c r="AP21" s="220">
        <f t="shared" si="6"/>
        <v>21975169</v>
      </c>
      <c r="AQ21" s="221">
        <f t="shared" si="6"/>
        <v>19981286</v>
      </c>
      <c r="AR21" s="220">
        <f t="shared" si="6"/>
        <v>0</v>
      </c>
      <c r="AS21" s="220">
        <f t="shared" si="6"/>
        <v>8534949</v>
      </c>
      <c r="AT21" s="220">
        <f t="shared" si="6"/>
        <v>0</v>
      </c>
      <c r="AU21" s="220">
        <f t="shared" si="6"/>
        <v>0</v>
      </c>
      <c r="AV21" s="220">
        <f t="shared" si="6"/>
        <v>27989367</v>
      </c>
      <c r="AW21" s="222">
        <f t="shared" si="6"/>
        <v>78480771</v>
      </c>
      <c r="AX21" s="230">
        <f t="shared" si="6"/>
        <v>0</v>
      </c>
      <c r="AY21" s="222">
        <f t="shared" si="6"/>
        <v>0</v>
      </c>
    </row>
    <row r="22" ht="13.5" thickBot="1"/>
    <row r="23" spans="1:51" ht="13.5" thickBot="1">
      <c r="A23" s="37"/>
      <c r="B23" s="37"/>
      <c r="C23" s="37"/>
      <c r="D23" s="37"/>
      <c r="E23" s="37"/>
      <c r="F23" s="37"/>
      <c r="G23" s="223" t="s">
        <v>214</v>
      </c>
      <c r="H23" s="231">
        <f aca="true" t="shared" si="7" ref="H23:P23">SUM(H17:H21)/2</f>
        <v>78480771</v>
      </c>
      <c r="I23" s="224">
        <f t="shared" si="7"/>
        <v>0</v>
      </c>
      <c r="J23" s="226">
        <f t="shared" si="7"/>
        <v>78480771</v>
      </c>
      <c r="K23" s="231">
        <f t="shared" si="7"/>
        <v>78480771</v>
      </c>
      <c r="L23" s="224">
        <f t="shared" si="7"/>
        <v>0</v>
      </c>
      <c r="M23" s="224">
        <f t="shared" si="7"/>
        <v>0</v>
      </c>
      <c r="N23" s="224">
        <f t="shared" si="7"/>
        <v>0</v>
      </c>
      <c r="O23" s="224">
        <f t="shared" si="7"/>
        <v>0</v>
      </c>
      <c r="P23" s="224">
        <f t="shared" si="7"/>
        <v>0</v>
      </c>
      <c r="Q23" s="225">
        <f aca="true" t="shared" si="8" ref="Q23:Z23">SUM(Q17:Q21)/2</f>
        <v>0</v>
      </c>
      <c r="R23" s="224">
        <f t="shared" si="8"/>
        <v>0</v>
      </c>
      <c r="S23" s="224">
        <f t="shared" si="8"/>
        <v>0</v>
      </c>
      <c r="T23" s="224">
        <f t="shared" si="8"/>
        <v>0</v>
      </c>
      <c r="U23" s="224">
        <f t="shared" si="8"/>
        <v>0</v>
      </c>
      <c r="V23" s="224">
        <f t="shared" si="8"/>
        <v>0</v>
      </c>
      <c r="W23" s="226">
        <f t="shared" si="8"/>
        <v>78480771</v>
      </c>
      <c r="X23" s="231">
        <f t="shared" si="8"/>
        <v>0</v>
      </c>
      <c r="Y23" s="224">
        <f t="shared" si="8"/>
        <v>0</v>
      </c>
      <c r="Z23" s="224">
        <f t="shared" si="8"/>
        <v>0</v>
      </c>
      <c r="AA23" s="224">
        <f aca="true" t="shared" si="9" ref="AA23:AJ23">SUM(AA17:AA21)/2</f>
        <v>0</v>
      </c>
      <c r="AB23" s="224">
        <f t="shared" si="9"/>
        <v>0</v>
      </c>
      <c r="AC23" s="224">
        <f t="shared" si="9"/>
        <v>21975169</v>
      </c>
      <c r="AD23" s="225">
        <f t="shared" si="9"/>
        <v>19981286</v>
      </c>
      <c r="AE23" s="224">
        <f t="shared" si="9"/>
        <v>0</v>
      </c>
      <c r="AF23" s="224">
        <f t="shared" si="9"/>
        <v>8534949</v>
      </c>
      <c r="AG23" s="224">
        <f t="shared" si="9"/>
        <v>0</v>
      </c>
      <c r="AH23" s="224">
        <f t="shared" si="9"/>
        <v>0</v>
      </c>
      <c r="AI23" s="224">
        <f t="shared" si="9"/>
        <v>27989367</v>
      </c>
      <c r="AJ23" s="226">
        <f t="shared" si="9"/>
        <v>78480771</v>
      </c>
      <c r="AK23" s="231">
        <f aca="true" t="shared" si="10" ref="AK23:AY23">SUM(AK17:AK21)/2</f>
        <v>0</v>
      </c>
      <c r="AL23" s="224">
        <f t="shared" si="10"/>
        <v>0</v>
      </c>
      <c r="AM23" s="224">
        <f t="shared" si="10"/>
        <v>0</v>
      </c>
      <c r="AN23" s="224">
        <f t="shared" si="10"/>
        <v>0</v>
      </c>
      <c r="AO23" s="224">
        <f t="shared" si="10"/>
        <v>0</v>
      </c>
      <c r="AP23" s="224">
        <f t="shared" si="10"/>
        <v>21975169</v>
      </c>
      <c r="AQ23" s="225">
        <f t="shared" si="10"/>
        <v>19981286</v>
      </c>
      <c r="AR23" s="224">
        <f t="shared" si="10"/>
        <v>0</v>
      </c>
      <c r="AS23" s="224">
        <f t="shared" si="10"/>
        <v>8534949</v>
      </c>
      <c r="AT23" s="224">
        <f t="shared" si="10"/>
        <v>0</v>
      </c>
      <c r="AU23" s="224">
        <f t="shared" si="10"/>
        <v>0</v>
      </c>
      <c r="AV23" s="224">
        <f t="shared" si="10"/>
        <v>27989367</v>
      </c>
      <c r="AW23" s="226">
        <f t="shared" si="10"/>
        <v>78480771</v>
      </c>
      <c r="AX23" s="231">
        <f t="shared" si="10"/>
        <v>0</v>
      </c>
      <c r="AY23" s="226">
        <f t="shared" si="10"/>
        <v>0</v>
      </c>
    </row>
  </sheetData>
  <printOptions horizontalCentered="1" verticalCentered="1"/>
  <pageMargins left="0.4724409448818898" right="0.4724409448818898" top="0.5118110236220472" bottom="0.984251968503937" header="0" footer="0"/>
  <pageSetup horizontalDpi="600" verticalDpi="600" orientation="landscape" paperSize="9" scale="46" r:id="rId2"/>
  <headerFooter alignWithMargins="0">
    <oddHeader>&amp;LGPR-&amp;D&amp;C&amp;"Arial,Bold"&amp;16INFORME EJECUCIÓN DE GASTOS - RESERVAS PRESUPUESTALES&amp;RPág. &amp;P/&amp;N</oddHeader>
    <oddFooter xml:space="preserve">&amp;L&amp;14JORGE NELSON GAITÁN LEÓN
Jefe de Presupuesto&amp;C&amp;14LUZ MARINA CHICA ARANGO
Directora General&amp;R&amp;14HUMBERTO RAMIREZ GARCIA
Subdirector  Financiero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Y56"/>
  <sheetViews>
    <sheetView showGridLines="0" zoomScale="75" zoomScaleNormal="75" workbookViewId="0" topLeftCell="A1">
      <selection activeCell="A1" sqref="A1"/>
    </sheetView>
  </sheetViews>
  <sheetFormatPr defaultColWidth="16.7109375" defaultRowHeight="12.75"/>
  <cols>
    <col min="1" max="1" width="3.00390625" style="101" customWidth="1"/>
    <col min="2" max="2" width="4.7109375" style="101" customWidth="1"/>
    <col min="3" max="5" width="6.7109375" style="101" customWidth="1"/>
    <col min="6" max="6" width="4.7109375" style="101" customWidth="1"/>
    <col min="7" max="7" width="55.7109375" style="103" customWidth="1"/>
    <col min="8" max="10" width="17.7109375" style="98" customWidth="1"/>
    <col min="11" max="16" width="17.7109375" style="98" hidden="1" customWidth="1"/>
    <col min="17" max="17" width="17.7109375" style="104" hidden="1" customWidth="1"/>
    <col min="18" max="22" width="17.7109375" style="98" hidden="1" customWidth="1"/>
    <col min="23" max="23" width="17.7109375" style="98" customWidth="1"/>
    <col min="24" max="29" width="17.7109375" style="98" hidden="1" customWidth="1"/>
    <col min="30" max="30" width="17.7109375" style="104" hidden="1" customWidth="1"/>
    <col min="31" max="35" width="17.7109375" style="98" hidden="1" customWidth="1"/>
    <col min="36" max="36" width="17.7109375" style="98" customWidth="1"/>
    <col min="37" max="42" width="17.7109375" style="98" hidden="1" customWidth="1"/>
    <col min="43" max="43" width="17.7109375" style="104" hidden="1" customWidth="1"/>
    <col min="44" max="48" width="17.7109375" style="98" hidden="1" customWidth="1"/>
    <col min="49" max="51" width="17.7109375" style="98" customWidth="1"/>
    <col min="52" max="16384" width="16.7109375" style="98" customWidth="1"/>
  </cols>
  <sheetData>
    <row r="1" spans="1:51" ht="12.75">
      <c r="A1" s="92"/>
      <c r="B1" s="107"/>
      <c r="C1" s="28" t="s">
        <v>0</v>
      </c>
      <c r="D1" s="107"/>
      <c r="E1" s="107"/>
      <c r="F1" s="107"/>
      <c r="G1" s="93"/>
      <c r="H1" s="241" t="s">
        <v>1</v>
      </c>
      <c r="I1" s="242" t="s">
        <v>2</v>
      </c>
      <c r="J1" s="245" t="s">
        <v>3</v>
      </c>
      <c r="K1" s="118" t="s">
        <v>4</v>
      </c>
      <c r="L1" s="119" t="s">
        <v>5</v>
      </c>
      <c r="M1" s="119" t="s">
        <v>6</v>
      </c>
      <c r="N1" s="119" t="s">
        <v>7</v>
      </c>
      <c r="O1" s="119" t="s">
        <v>8</v>
      </c>
      <c r="P1" s="119" t="s">
        <v>9</v>
      </c>
      <c r="Q1" s="120" t="s">
        <v>10</v>
      </c>
      <c r="R1" s="119" t="s">
        <v>11</v>
      </c>
      <c r="S1" s="119" t="s">
        <v>12</v>
      </c>
      <c r="T1" s="119" t="s">
        <v>13</v>
      </c>
      <c r="U1" s="119" t="s">
        <v>14</v>
      </c>
      <c r="V1" s="119" t="s">
        <v>15</v>
      </c>
      <c r="W1" s="264" t="s">
        <v>16</v>
      </c>
      <c r="X1" s="118" t="s">
        <v>4</v>
      </c>
      <c r="Y1" s="119" t="s">
        <v>5</v>
      </c>
      <c r="Z1" s="119" t="s">
        <v>6</v>
      </c>
      <c r="AA1" s="119" t="s">
        <v>7</v>
      </c>
      <c r="AB1" s="119" t="s">
        <v>8</v>
      </c>
      <c r="AC1" s="119" t="s">
        <v>9</v>
      </c>
      <c r="AD1" s="120" t="s">
        <v>10</v>
      </c>
      <c r="AE1" s="119" t="s">
        <v>11</v>
      </c>
      <c r="AF1" s="119" t="s">
        <v>12</v>
      </c>
      <c r="AG1" s="119" t="s">
        <v>13</v>
      </c>
      <c r="AH1" s="119" t="s">
        <v>14</v>
      </c>
      <c r="AI1" s="119" t="s">
        <v>15</v>
      </c>
      <c r="AJ1" s="264" t="s">
        <v>16</v>
      </c>
      <c r="AK1" s="118" t="s">
        <v>4</v>
      </c>
      <c r="AL1" s="195" t="s">
        <v>5</v>
      </c>
      <c r="AM1" s="195" t="s">
        <v>6</v>
      </c>
      <c r="AN1" s="195" t="s">
        <v>7</v>
      </c>
      <c r="AO1" s="195" t="s">
        <v>8</v>
      </c>
      <c r="AP1" s="195" t="s">
        <v>9</v>
      </c>
      <c r="AQ1" s="196" t="s">
        <v>10</v>
      </c>
      <c r="AR1" s="195" t="s">
        <v>11</v>
      </c>
      <c r="AS1" s="195" t="s">
        <v>12</v>
      </c>
      <c r="AT1" s="195" t="s">
        <v>13</v>
      </c>
      <c r="AU1" s="195" t="s">
        <v>14</v>
      </c>
      <c r="AV1" s="195" t="s">
        <v>15</v>
      </c>
      <c r="AW1" s="266" t="s">
        <v>16</v>
      </c>
      <c r="AX1" s="199" t="s">
        <v>17</v>
      </c>
      <c r="AY1" s="200"/>
    </row>
    <row r="2" spans="1:51" ht="13.5" thickBot="1">
      <c r="A2" s="94"/>
      <c r="B2" s="108"/>
      <c r="C2" s="5" t="s">
        <v>18</v>
      </c>
      <c r="D2" s="108"/>
      <c r="E2" s="108"/>
      <c r="F2" s="108"/>
      <c r="G2" s="95"/>
      <c r="H2" s="246" t="s">
        <v>19</v>
      </c>
      <c r="I2" s="247"/>
      <c r="J2" s="251" t="s">
        <v>20</v>
      </c>
      <c r="K2" s="121" t="s">
        <v>21</v>
      </c>
      <c r="L2" s="122">
        <v>2001</v>
      </c>
      <c r="M2" s="122">
        <v>2001</v>
      </c>
      <c r="N2" s="122">
        <v>2001</v>
      </c>
      <c r="O2" s="122">
        <v>2001</v>
      </c>
      <c r="P2" s="122">
        <v>2001</v>
      </c>
      <c r="Q2" s="123">
        <v>2001</v>
      </c>
      <c r="R2" s="122">
        <v>2001</v>
      </c>
      <c r="S2" s="122">
        <v>2001</v>
      </c>
      <c r="T2" s="122">
        <v>2001</v>
      </c>
      <c r="U2" s="122">
        <v>2001</v>
      </c>
      <c r="V2" s="122">
        <v>2001</v>
      </c>
      <c r="W2" s="265" t="s">
        <v>21</v>
      </c>
      <c r="X2" s="121" t="s">
        <v>21</v>
      </c>
      <c r="Y2" s="122" t="s">
        <v>21</v>
      </c>
      <c r="Z2" s="122">
        <v>2001</v>
      </c>
      <c r="AA2" s="122">
        <v>2001</v>
      </c>
      <c r="AB2" s="122">
        <v>2001</v>
      </c>
      <c r="AC2" s="122">
        <v>2001</v>
      </c>
      <c r="AD2" s="123">
        <v>2001</v>
      </c>
      <c r="AE2" s="122">
        <v>2001</v>
      </c>
      <c r="AF2" s="122">
        <v>2001</v>
      </c>
      <c r="AG2" s="122">
        <v>2001</v>
      </c>
      <c r="AH2" s="122">
        <v>2001</v>
      </c>
      <c r="AI2" s="122">
        <v>2001</v>
      </c>
      <c r="AJ2" s="265" t="s">
        <v>21</v>
      </c>
      <c r="AK2" s="121" t="s">
        <v>21</v>
      </c>
      <c r="AL2" s="197" t="s">
        <v>21</v>
      </c>
      <c r="AM2" s="197">
        <v>2001</v>
      </c>
      <c r="AN2" s="197">
        <v>2001</v>
      </c>
      <c r="AO2" s="197">
        <v>2001</v>
      </c>
      <c r="AP2" s="197">
        <v>2001</v>
      </c>
      <c r="AQ2" s="198">
        <v>2001</v>
      </c>
      <c r="AR2" s="197">
        <v>2001</v>
      </c>
      <c r="AS2" s="197">
        <v>2001</v>
      </c>
      <c r="AT2" s="197">
        <v>2001</v>
      </c>
      <c r="AU2" s="197">
        <v>2001</v>
      </c>
      <c r="AV2" s="197">
        <v>2001</v>
      </c>
      <c r="AW2" s="267" t="s">
        <v>21</v>
      </c>
      <c r="AX2" s="201">
        <f ca="1">TODAY()-4</f>
        <v>37833</v>
      </c>
      <c r="AY2" s="202"/>
    </row>
    <row r="3" spans="1:51" ht="13.5" thickBot="1">
      <c r="A3" s="38"/>
      <c r="B3" s="38"/>
      <c r="C3" s="38"/>
      <c r="D3" s="38"/>
      <c r="E3" s="38"/>
      <c r="F3" s="38"/>
      <c r="G3" s="39"/>
      <c r="H3" s="36"/>
      <c r="I3" s="36"/>
      <c r="J3" s="36"/>
      <c r="K3" s="36"/>
      <c r="L3" s="36"/>
      <c r="M3" s="36"/>
      <c r="N3" s="36"/>
      <c r="O3" s="36"/>
      <c r="P3" s="36"/>
      <c r="Q3" s="40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40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40"/>
      <c r="AR3" s="36"/>
      <c r="AS3" s="36"/>
      <c r="AT3" s="36"/>
      <c r="AU3" s="36"/>
      <c r="AV3" s="36"/>
      <c r="AW3" s="36"/>
      <c r="AX3" s="36"/>
      <c r="AY3" s="36"/>
    </row>
    <row r="4" spans="1:51" ht="12.75">
      <c r="A4" s="143" t="s">
        <v>98</v>
      </c>
      <c r="B4" s="144"/>
      <c r="C4" s="144"/>
      <c r="D4" s="144"/>
      <c r="E4" s="144"/>
      <c r="F4" s="144"/>
      <c r="G4" s="145"/>
      <c r="H4" s="146" t="s">
        <v>99</v>
      </c>
      <c r="I4" s="236" t="s">
        <v>258</v>
      </c>
      <c r="J4" s="148" t="s">
        <v>99</v>
      </c>
      <c r="K4" s="146" t="s">
        <v>101</v>
      </c>
      <c r="L4" s="149" t="s">
        <v>101</v>
      </c>
      <c r="M4" s="149" t="s">
        <v>101</v>
      </c>
      <c r="N4" s="149" t="s">
        <v>101</v>
      </c>
      <c r="O4" s="149" t="s">
        <v>101</v>
      </c>
      <c r="P4" s="149" t="s">
        <v>101</v>
      </c>
      <c r="Q4" s="150" t="s">
        <v>101</v>
      </c>
      <c r="R4" s="149" t="s">
        <v>101</v>
      </c>
      <c r="S4" s="149" t="s">
        <v>101</v>
      </c>
      <c r="T4" s="149" t="s">
        <v>101</v>
      </c>
      <c r="U4" s="149" t="s">
        <v>101</v>
      </c>
      <c r="V4" s="149" t="s">
        <v>101</v>
      </c>
      <c r="W4" s="151" t="s">
        <v>101</v>
      </c>
      <c r="X4" s="146" t="s">
        <v>102</v>
      </c>
      <c r="Y4" s="149" t="s">
        <v>102</v>
      </c>
      <c r="Z4" s="149" t="s">
        <v>102</v>
      </c>
      <c r="AA4" s="149" t="s">
        <v>102</v>
      </c>
      <c r="AB4" s="149" t="s">
        <v>102</v>
      </c>
      <c r="AC4" s="149" t="s">
        <v>102</v>
      </c>
      <c r="AD4" s="150" t="s">
        <v>102</v>
      </c>
      <c r="AE4" s="149" t="s">
        <v>102</v>
      </c>
      <c r="AF4" s="149" t="s">
        <v>102</v>
      </c>
      <c r="AG4" s="149" t="s">
        <v>102</v>
      </c>
      <c r="AH4" s="149" t="s">
        <v>102</v>
      </c>
      <c r="AI4" s="149" t="s">
        <v>102</v>
      </c>
      <c r="AJ4" s="151" t="s">
        <v>102</v>
      </c>
      <c r="AK4" s="146" t="s">
        <v>103</v>
      </c>
      <c r="AL4" s="173" t="s">
        <v>103</v>
      </c>
      <c r="AM4" s="173" t="s">
        <v>103</v>
      </c>
      <c r="AN4" s="173" t="s">
        <v>103</v>
      </c>
      <c r="AO4" s="173" t="s">
        <v>103</v>
      </c>
      <c r="AP4" s="173" t="s">
        <v>103</v>
      </c>
      <c r="AQ4" s="174" t="s">
        <v>103</v>
      </c>
      <c r="AR4" s="173" t="s">
        <v>103</v>
      </c>
      <c r="AS4" s="173" t="s">
        <v>103</v>
      </c>
      <c r="AT4" s="173" t="s">
        <v>103</v>
      </c>
      <c r="AU4" s="173" t="s">
        <v>103</v>
      </c>
      <c r="AV4" s="173" t="s">
        <v>103</v>
      </c>
      <c r="AW4" s="148" t="s">
        <v>103</v>
      </c>
      <c r="AX4" s="146" t="s">
        <v>26</v>
      </c>
      <c r="AY4" s="148" t="s">
        <v>26</v>
      </c>
    </row>
    <row r="5" spans="1:51" ht="12.75">
      <c r="A5" s="152" t="s">
        <v>106</v>
      </c>
      <c r="B5" s="153" t="s">
        <v>107</v>
      </c>
      <c r="C5" s="154" t="s">
        <v>108</v>
      </c>
      <c r="D5" s="153" t="s">
        <v>109</v>
      </c>
      <c r="E5" s="153" t="s">
        <v>110</v>
      </c>
      <c r="F5" s="153" t="s">
        <v>111</v>
      </c>
      <c r="G5" s="155" t="s">
        <v>28</v>
      </c>
      <c r="H5" s="156" t="s">
        <v>30</v>
      </c>
      <c r="I5" s="157">
        <v>-2</v>
      </c>
      <c r="J5" s="159" t="s">
        <v>113</v>
      </c>
      <c r="K5" s="156" t="s">
        <v>4</v>
      </c>
      <c r="L5" s="160" t="s">
        <v>5</v>
      </c>
      <c r="M5" s="160" t="s">
        <v>6</v>
      </c>
      <c r="N5" s="160" t="s">
        <v>7</v>
      </c>
      <c r="O5" s="160" t="s">
        <v>8</v>
      </c>
      <c r="P5" s="160" t="s">
        <v>9</v>
      </c>
      <c r="Q5" s="161" t="s">
        <v>10</v>
      </c>
      <c r="R5" s="160" t="s">
        <v>11</v>
      </c>
      <c r="S5" s="160" t="s">
        <v>12</v>
      </c>
      <c r="T5" s="160" t="s">
        <v>13</v>
      </c>
      <c r="U5" s="160" t="s">
        <v>14</v>
      </c>
      <c r="V5" s="160" t="s">
        <v>15</v>
      </c>
      <c r="W5" s="162" t="s">
        <v>34</v>
      </c>
      <c r="X5" s="156" t="s">
        <v>4</v>
      </c>
      <c r="Y5" s="160" t="s">
        <v>5</v>
      </c>
      <c r="Z5" s="160" t="s">
        <v>6</v>
      </c>
      <c r="AA5" s="160" t="s">
        <v>7</v>
      </c>
      <c r="AB5" s="160" t="s">
        <v>8</v>
      </c>
      <c r="AC5" s="160" t="s">
        <v>9</v>
      </c>
      <c r="AD5" s="161" t="s">
        <v>10</v>
      </c>
      <c r="AE5" s="160" t="s">
        <v>11</v>
      </c>
      <c r="AF5" s="160" t="s">
        <v>12</v>
      </c>
      <c r="AG5" s="160" t="s">
        <v>13</v>
      </c>
      <c r="AH5" s="160" t="s">
        <v>14</v>
      </c>
      <c r="AI5" s="160" t="s">
        <v>15</v>
      </c>
      <c r="AJ5" s="162" t="s">
        <v>34</v>
      </c>
      <c r="AK5" s="156" t="s">
        <v>4</v>
      </c>
      <c r="AL5" s="158" t="s">
        <v>5</v>
      </c>
      <c r="AM5" s="158" t="s">
        <v>6</v>
      </c>
      <c r="AN5" s="158" t="s">
        <v>7</v>
      </c>
      <c r="AO5" s="158" t="s">
        <v>8</v>
      </c>
      <c r="AP5" s="158" t="s">
        <v>9</v>
      </c>
      <c r="AQ5" s="172" t="s">
        <v>10</v>
      </c>
      <c r="AR5" s="158" t="s">
        <v>11</v>
      </c>
      <c r="AS5" s="158" t="s">
        <v>12</v>
      </c>
      <c r="AT5" s="158" t="s">
        <v>13</v>
      </c>
      <c r="AU5" s="158" t="s">
        <v>14</v>
      </c>
      <c r="AV5" s="158" t="s">
        <v>15</v>
      </c>
      <c r="AW5" s="159" t="s">
        <v>34</v>
      </c>
      <c r="AX5" s="156" t="s">
        <v>99</v>
      </c>
      <c r="AY5" s="159" t="s">
        <v>115</v>
      </c>
    </row>
    <row r="6" spans="1:51" ht="13.5" thickBot="1">
      <c r="A6" s="163"/>
      <c r="B6" s="164"/>
      <c r="C6" s="164" t="s">
        <v>116</v>
      </c>
      <c r="D6" s="164" t="s">
        <v>117</v>
      </c>
      <c r="E6" s="164" t="s">
        <v>118</v>
      </c>
      <c r="F6" s="164"/>
      <c r="G6" s="165"/>
      <c r="H6" s="166" t="s">
        <v>36</v>
      </c>
      <c r="I6" s="167" t="s">
        <v>252</v>
      </c>
      <c r="J6" s="168" t="s">
        <v>124</v>
      </c>
      <c r="K6" s="166"/>
      <c r="L6" s="169"/>
      <c r="M6" s="169"/>
      <c r="N6" s="169"/>
      <c r="O6" s="169"/>
      <c r="P6" s="169"/>
      <c r="Q6" s="170"/>
      <c r="R6" s="169"/>
      <c r="S6" s="169"/>
      <c r="T6" s="169"/>
      <c r="U6" s="169"/>
      <c r="V6" s="169"/>
      <c r="W6" s="171" t="s">
        <v>128</v>
      </c>
      <c r="X6" s="166"/>
      <c r="Y6" s="169"/>
      <c r="Z6" s="169"/>
      <c r="AA6" s="169"/>
      <c r="AB6" s="169"/>
      <c r="AC6" s="169"/>
      <c r="AD6" s="170"/>
      <c r="AE6" s="169"/>
      <c r="AF6" s="169"/>
      <c r="AG6" s="169"/>
      <c r="AH6" s="169"/>
      <c r="AI6" s="169"/>
      <c r="AJ6" s="171" t="s">
        <v>40</v>
      </c>
      <c r="AK6" s="166"/>
      <c r="AL6" s="167"/>
      <c r="AM6" s="167"/>
      <c r="AN6" s="167"/>
      <c r="AO6" s="167"/>
      <c r="AP6" s="167"/>
      <c r="AQ6" s="175"/>
      <c r="AR6" s="167"/>
      <c r="AS6" s="167"/>
      <c r="AT6" s="167"/>
      <c r="AU6" s="167"/>
      <c r="AV6" s="167"/>
      <c r="AW6" s="176" t="s">
        <v>41</v>
      </c>
      <c r="AX6" s="166" t="s">
        <v>259</v>
      </c>
      <c r="AY6" s="168" t="s">
        <v>131</v>
      </c>
    </row>
    <row r="7" spans="1:51" ht="13.5" thickBot="1">
      <c r="A7" s="38"/>
      <c r="B7" s="38"/>
      <c r="C7" s="38"/>
      <c r="D7" s="38"/>
      <c r="E7" s="38"/>
      <c r="F7" s="38"/>
      <c r="G7" s="39"/>
      <c r="H7" s="36"/>
      <c r="I7" s="36"/>
      <c r="J7" s="36"/>
      <c r="K7" s="36"/>
      <c r="L7" s="36"/>
      <c r="M7" s="36"/>
      <c r="N7" s="36"/>
      <c r="O7" s="36"/>
      <c r="P7" s="36"/>
      <c r="Q7" s="40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40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40"/>
      <c r="AR7" s="36"/>
      <c r="AS7" s="36"/>
      <c r="AT7" s="36"/>
      <c r="AU7" s="36"/>
      <c r="AV7" s="36"/>
      <c r="AW7" s="36"/>
      <c r="AX7" s="36"/>
      <c r="AY7" s="36"/>
    </row>
    <row r="8" spans="1:51" ht="13.5" thickBot="1">
      <c r="A8" s="124" t="s">
        <v>132</v>
      </c>
      <c r="B8" s="125"/>
      <c r="C8" s="125"/>
      <c r="D8" s="125"/>
      <c r="E8" s="125"/>
      <c r="F8" s="125"/>
      <c r="G8" s="126"/>
      <c r="H8" s="127"/>
      <c r="I8" s="127"/>
      <c r="J8" s="127"/>
      <c r="K8" s="127"/>
      <c r="L8" s="127"/>
      <c r="M8" s="127"/>
      <c r="N8" s="127"/>
      <c r="O8" s="127"/>
      <c r="P8" s="127"/>
      <c r="Q8" s="128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8"/>
      <c r="AR8" s="127"/>
      <c r="AS8" s="127"/>
      <c r="AT8" s="127"/>
      <c r="AU8" s="127"/>
      <c r="AV8" s="127"/>
      <c r="AW8" s="127"/>
      <c r="AX8" s="127"/>
      <c r="AY8" s="129"/>
    </row>
    <row r="9" spans="1:51" ht="13.5" thickBot="1">
      <c r="A9" s="38"/>
      <c r="B9" s="38"/>
      <c r="C9" s="38"/>
      <c r="D9" s="38"/>
      <c r="E9" s="38"/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40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40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40"/>
      <c r="AR9" s="36"/>
      <c r="AS9" s="36"/>
      <c r="AT9" s="36"/>
      <c r="AU9" s="36"/>
      <c r="AV9" s="36"/>
      <c r="AW9" s="36"/>
      <c r="AX9" s="36"/>
      <c r="AY9" s="36"/>
    </row>
    <row r="10" spans="1:51" s="102" customFormat="1" ht="19.5" customHeight="1" thickBot="1">
      <c r="A10" s="179" t="s">
        <v>133</v>
      </c>
      <c r="B10" s="180"/>
      <c r="C10" s="180"/>
      <c r="D10" s="180"/>
      <c r="E10" s="180"/>
      <c r="F10" s="180"/>
      <c r="G10" s="181" t="s">
        <v>135</v>
      </c>
      <c r="H10" s="182">
        <f>H11+H18</f>
        <v>288471464</v>
      </c>
      <c r="I10" s="183">
        <f aca="true" t="shared" si="0" ref="I10:AY10">I11+I18</f>
        <v>0</v>
      </c>
      <c r="J10" s="184">
        <f t="shared" si="0"/>
        <v>288471464</v>
      </c>
      <c r="K10" s="182">
        <f t="shared" si="0"/>
        <v>288471464</v>
      </c>
      <c r="L10" s="183">
        <f t="shared" si="0"/>
        <v>0</v>
      </c>
      <c r="M10" s="183">
        <f t="shared" si="0"/>
        <v>0</v>
      </c>
      <c r="N10" s="183">
        <f t="shared" si="0"/>
        <v>0</v>
      </c>
      <c r="O10" s="183">
        <f t="shared" si="0"/>
        <v>0</v>
      </c>
      <c r="P10" s="183">
        <f t="shared" si="0"/>
        <v>0</v>
      </c>
      <c r="Q10" s="185">
        <f t="shared" si="0"/>
        <v>0</v>
      </c>
      <c r="R10" s="183">
        <f t="shared" si="0"/>
        <v>0</v>
      </c>
      <c r="S10" s="183">
        <f t="shared" si="0"/>
        <v>0</v>
      </c>
      <c r="T10" s="183">
        <f t="shared" si="0"/>
        <v>0</v>
      </c>
      <c r="U10" s="183">
        <f t="shared" si="0"/>
        <v>0</v>
      </c>
      <c r="V10" s="183">
        <f t="shared" si="0"/>
        <v>-253520</v>
      </c>
      <c r="W10" s="184">
        <f t="shared" si="0"/>
        <v>288217944</v>
      </c>
      <c r="X10" s="182">
        <f t="shared" si="0"/>
        <v>288471464</v>
      </c>
      <c r="Y10" s="183">
        <f t="shared" si="0"/>
        <v>0</v>
      </c>
      <c r="Z10" s="183">
        <f t="shared" si="0"/>
        <v>0</v>
      </c>
      <c r="AA10" s="183">
        <f t="shared" si="0"/>
        <v>0</v>
      </c>
      <c r="AB10" s="183">
        <f t="shared" si="0"/>
        <v>0</v>
      </c>
      <c r="AC10" s="183">
        <f t="shared" si="0"/>
        <v>0</v>
      </c>
      <c r="AD10" s="185">
        <f t="shared" si="0"/>
        <v>0</v>
      </c>
      <c r="AE10" s="183">
        <f t="shared" si="0"/>
        <v>0</v>
      </c>
      <c r="AF10" s="183">
        <f t="shared" si="0"/>
        <v>0</v>
      </c>
      <c r="AG10" s="183">
        <f t="shared" si="0"/>
        <v>0</v>
      </c>
      <c r="AH10" s="183">
        <f t="shared" si="0"/>
        <v>0</v>
      </c>
      <c r="AI10" s="183">
        <f t="shared" si="0"/>
        <v>-253520</v>
      </c>
      <c r="AJ10" s="184">
        <f t="shared" si="0"/>
        <v>288217944</v>
      </c>
      <c r="AK10" s="182">
        <f t="shared" si="0"/>
        <v>57384979</v>
      </c>
      <c r="AL10" s="183">
        <f t="shared" si="0"/>
        <v>59197610</v>
      </c>
      <c r="AM10" s="183">
        <f t="shared" si="0"/>
        <v>20249236</v>
      </c>
      <c r="AN10" s="183">
        <f t="shared" si="0"/>
        <v>24252589</v>
      </c>
      <c r="AO10" s="183">
        <f t="shared" si="0"/>
        <v>14069211</v>
      </c>
      <c r="AP10" s="183">
        <f t="shared" si="0"/>
        <v>7396626</v>
      </c>
      <c r="AQ10" s="185">
        <f t="shared" si="0"/>
        <v>7538783</v>
      </c>
      <c r="AR10" s="183">
        <f t="shared" si="0"/>
        <v>8382159</v>
      </c>
      <c r="AS10" s="183">
        <f t="shared" si="0"/>
        <v>206582</v>
      </c>
      <c r="AT10" s="183">
        <f t="shared" si="0"/>
        <v>3653188</v>
      </c>
      <c r="AU10" s="183">
        <f t="shared" si="0"/>
        <v>58129</v>
      </c>
      <c r="AV10" s="183">
        <f t="shared" si="0"/>
        <v>36116</v>
      </c>
      <c r="AW10" s="184">
        <f t="shared" si="0"/>
        <v>202425208</v>
      </c>
      <c r="AX10" s="182">
        <f t="shared" si="0"/>
        <v>253520</v>
      </c>
      <c r="AY10" s="184">
        <f t="shared" si="0"/>
        <v>85792736</v>
      </c>
    </row>
    <row r="11" spans="1:51" s="102" customFormat="1" ht="19.5" customHeight="1">
      <c r="A11" s="186" t="s">
        <v>133</v>
      </c>
      <c r="B11" s="187" t="s">
        <v>136</v>
      </c>
      <c r="C11" s="188" t="s">
        <v>137</v>
      </c>
      <c r="D11" s="187"/>
      <c r="E11" s="187"/>
      <c r="F11" s="187"/>
      <c r="G11" s="189" t="s">
        <v>138</v>
      </c>
      <c r="H11" s="190">
        <f>SUM(H12:H17)</f>
        <v>14888860</v>
      </c>
      <c r="I11" s="191">
        <f aca="true" t="shared" si="1" ref="I11:AY11">SUM(I12:I17)</f>
        <v>0</v>
      </c>
      <c r="J11" s="192">
        <f t="shared" si="1"/>
        <v>14888860</v>
      </c>
      <c r="K11" s="190">
        <f t="shared" si="1"/>
        <v>14888860</v>
      </c>
      <c r="L11" s="191">
        <f t="shared" si="1"/>
        <v>0</v>
      </c>
      <c r="M11" s="191">
        <f t="shared" si="1"/>
        <v>0</v>
      </c>
      <c r="N11" s="191">
        <f t="shared" si="1"/>
        <v>0</v>
      </c>
      <c r="O11" s="191">
        <f t="shared" si="1"/>
        <v>0</v>
      </c>
      <c r="P11" s="191">
        <f t="shared" si="1"/>
        <v>0</v>
      </c>
      <c r="Q11" s="193">
        <f t="shared" si="1"/>
        <v>0</v>
      </c>
      <c r="R11" s="191">
        <f t="shared" si="1"/>
        <v>0</v>
      </c>
      <c r="S11" s="191">
        <f t="shared" si="1"/>
        <v>0</v>
      </c>
      <c r="T11" s="191">
        <f t="shared" si="1"/>
        <v>0</v>
      </c>
      <c r="U11" s="191">
        <f t="shared" si="1"/>
        <v>0</v>
      </c>
      <c r="V11" s="191">
        <f t="shared" si="1"/>
        <v>0</v>
      </c>
      <c r="W11" s="192">
        <f t="shared" si="1"/>
        <v>14888860</v>
      </c>
      <c r="X11" s="190">
        <f t="shared" si="1"/>
        <v>14888860</v>
      </c>
      <c r="Y11" s="191">
        <f t="shared" si="1"/>
        <v>0</v>
      </c>
      <c r="Z11" s="191">
        <f t="shared" si="1"/>
        <v>0</v>
      </c>
      <c r="AA11" s="191">
        <f t="shared" si="1"/>
        <v>0</v>
      </c>
      <c r="AB11" s="191">
        <f t="shared" si="1"/>
        <v>0</v>
      </c>
      <c r="AC11" s="191">
        <f t="shared" si="1"/>
        <v>0</v>
      </c>
      <c r="AD11" s="193">
        <f t="shared" si="1"/>
        <v>0</v>
      </c>
      <c r="AE11" s="191">
        <f t="shared" si="1"/>
        <v>0</v>
      </c>
      <c r="AF11" s="191">
        <f t="shared" si="1"/>
        <v>0</v>
      </c>
      <c r="AG11" s="191">
        <f t="shared" si="1"/>
        <v>0</v>
      </c>
      <c r="AH11" s="191">
        <f t="shared" si="1"/>
        <v>0</v>
      </c>
      <c r="AI11" s="191">
        <f t="shared" si="1"/>
        <v>0</v>
      </c>
      <c r="AJ11" s="192">
        <f t="shared" si="1"/>
        <v>14888860</v>
      </c>
      <c r="AK11" s="190">
        <f t="shared" si="1"/>
        <v>7095495</v>
      </c>
      <c r="AL11" s="191">
        <f t="shared" si="1"/>
        <v>2596104</v>
      </c>
      <c r="AM11" s="191">
        <f t="shared" si="1"/>
        <v>83179</v>
      </c>
      <c r="AN11" s="191">
        <f t="shared" si="1"/>
        <v>2600</v>
      </c>
      <c r="AO11" s="191">
        <f t="shared" si="1"/>
        <v>317971</v>
      </c>
      <c r="AP11" s="191">
        <f t="shared" si="1"/>
        <v>0</v>
      </c>
      <c r="AQ11" s="193">
        <f t="shared" si="1"/>
        <v>0</v>
      </c>
      <c r="AR11" s="191">
        <f t="shared" si="1"/>
        <v>0</v>
      </c>
      <c r="AS11" s="191">
        <f t="shared" si="1"/>
        <v>0</v>
      </c>
      <c r="AT11" s="191">
        <f t="shared" si="1"/>
        <v>5515</v>
      </c>
      <c r="AU11" s="191">
        <f t="shared" si="1"/>
        <v>2980</v>
      </c>
      <c r="AV11" s="191">
        <f t="shared" si="1"/>
        <v>0</v>
      </c>
      <c r="AW11" s="192">
        <f t="shared" si="1"/>
        <v>10103844</v>
      </c>
      <c r="AX11" s="291">
        <f t="shared" si="1"/>
        <v>0</v>
      </c>
      <c r="AY11" s="293">
        <f t="shared" si="1"/>
        <v>4785016</v>
      </c>
    </row>
    <row r="12" spans="1:51" ht="19.5" customHeight="1">
      <c r="A12" s="136" t="s">
        <v>133</v>
      </c>
      <c r="B12" s="130" t="s">
        <v>136</v>
      </c>
      <c r="C12" s="130" t="s">
        <v>139</v>
      </c>
      <c r="D12" s="130" t="s">
        <v>137</v>
      </c>
      <c r="E12" s="130" t="s">
        <v>137</v>
      </c>
      <c r="F12" s="130" t="s">
        <v>195</v>
      </c>
      <c r="G12" s="131" t="s">
        <v>141</v>
      </c>
      <c r="H12" s="177">
        <v>139997</v>
      </c>
      <c r="I12" s="132">
        <v>0</v>
      </c>
      <c r="J12" s="272">
        <f aca="true" t="shared" si="2" ref="J12:J17">SUM(H12:I12)</f>
        <v>139997</v>
      </c>
      <c r="K12" s="177">
        <f aca="true" t="shared" si="3" ref="K12:K17">J12</f>
        <v>139997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3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274">
        <f aca="true" t="shared" si="4" ref="W12:W21">SUM(K12:V12)</f>
        <v>139997</v>
      </c>
      <c r="X12" s="177">
        <f aca="true" t="shared" si="5" ref="X12:AG17">K12</f>
        <v>139997</v>
      </c>
      <c r="Y12" s="132">
        <f t="shared" si="5"/>
        <v>0</v>
      </c>
      <c r="Z12" s="132">
        <f t="shared" si="5"/>
        <v>0</v>
      </c>
      <c r="AA12" s="132">
        <f t="shared" si="5"/>
        <v>0</v>
      </c>
      <c r="AB12" s="132">
        <f t="shared" si="5"/>
        <v>0</v>
      </c>
      <c r="AC12" s="132">
        <f t="shared" si="5"/>
        <v>0</v>
      </c>
      <c r="AD12" s="133">
        <f t="shared" si="5"/>
        <v>0</v>
      </c>
      <c r="AE12" s="132">
        <f t="shared" si="5"/>
        <v>0</v>
      </c>
      <c r="AF12" s="132">
        <f t="shared" si="5"/>
        <v>0</v>
      </c>
      <c r="AG12" s="132">
        <f t="shared" si="5"/>
        <v>0</v>
      </c>
      <c r="AH12" s="132">
        <f aca="true" t="shared" si="6" ref="AH12:AH17">U12</f>
        <v>0</v>
      </c>
      <c r="AI12" s="132">
        <f aca="true" t="shared" si="7" ref="AI12:AI17">V12</f>
        <v>0</v>
      </c>
      <c r="AJ12" s="274">
        <f aca="true" t="shared" si="8" ref="AJ12:AJ21">SUM(X12:AI12)</f>
        <v>139997</v>
      </c>
      <c r="AK12" s="177">
        <v>119676</v>
      </c>
      <c r="AL12" s="132">
        <v>20321</v>
      </c>
      <c r="AM12" s="132">
        <v>0</v>
      </c>
      <c r="AN12" s="132">
        <v>0</v>
      </c>
      <c r="AO12" s="132">
        <v>0</v>
      </c>
      <c r="AP12" s="132">
        <v>0</v>
      </c>
      <c r="AQ12" s="133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272">
        <f aca="true" t="shared" si="9" ref="AW12:AW21">SUM(AK12:AV12)</f>
        <v>139997</v>
      </c>
      <c r="AX12" s="294">
        <f aca="true" t="shared" si="10" ref="AX12:AX21">J12-W12</f>
        <v>0</v>
      </c>
      <c r="AY12" s="296">
        <f aca="true" t="shared" si="11" ref="AY12:AY21">AJ12-AW12</f>
        <v>0</v>
      </c>
    </row>
    <row r="13" spans="1:51" ht="19.5" customHeight="1">
      <c r="A13" s="136" t="s">
        <v>133</v>
      </c>
      <c r="B13" s="130" t="s">
        <v>136</v>
      </c>
      <c r="C13" s="130" t="s">
        <v>139</v>
      </c>
      <c r="D13" s="130" t="s">
        <v>137</v>
      </c>
      <c r="E13" s="130" t="s">
        <v>144</v>
      </c>
      <c r="F13" s="130" t="s">
        <v>140</v>
      </c>
      <c r="G13" s="131" t="s">
        <v>145</v>
      </c>
      <c r="H13" s="177">
        <v>2092</v>
      </c>
      <c r="I13" s="132">
        <v>0</v>
      </c>
      <c r="J13" s="272">
        <f t="shared" si="2"/>
        <v>2092</v>
      </c>
      <c r="K13" s="177">
        <f t="shared" si="3"/>
        <v>2092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3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274">
        <f t="shared" si="4"/>
        <v>2092</v>
      </c>
      <c r="X13" s="177">
        <f t="shared" si="5"/>
        <v>2092</v>
      </c>
      <c r="Y13" s="132">
        <f t="shared" si="5"/>
        <v>0</v>
      </c>
      <c r="Z13" s="132">
        <f t="shared" si="5"/>
        <v>0</v>
      </c>
      <c r="AA13" s="132">
        <f t="shared" si="5"/>
        <v>0</v>
      </c>
      <c r="AB13" s="132">
        <f t="shared" si="5"/>
        <v>0</v>
      </c>
      <c r="AC13" s="132">
        <f t="shared" si="5"/>
        <v>0</v>
      </c>
      <c r="AD13" s="133">
        <f t="shared" si="5"/>
        <v>0</v>
      </c>
      <c r="AE13" s="132">
        <f t="shared" si="5"/>
        <v>0</v>
      </c>
      <c r="AF13" s="132">
        <f t="shared" si="5"/>
        <v>0</v>
      </c>
      <c r="AG13" s="132">
        <f t="shared" si="5"/>
        <v>0</v>
      </c>
      <c r="AH13" s="132">
        <f t="shared" si="6"/>
        <v>0</v>
      </c>
      <c r="AI13" s="132">
        <f t="shared" si="7"/>
        <v>0</v>
      </c>
      <c r="AJ13" s="274">
        <f t="shared" si="8"/>
        <v>2092</v>
      </c>
      <c r="AK13" s="177">
        <v>2092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3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272">
        <f t="shared" si="9"/>
        <v>2092</v>
      </c>
      <c r="AX13" s="294">
        <f t="shared" si="10"/>
        <v>0</v>
      </c>
      <c r="AY13" s="296">
        <f t="shared" si="11"/>
        <v>0</v>
      </c>
    </row>
    <row r="14" spans="1:51" ht="19.5" customHeight="1">
      <c r="A14" s="136" t="s">
        <v>133</v>
      </c>
      <c r="B14" s="130" t="s">
        <v>136</v>
      </c>
      <c r="C14" s="130" t="s">
        <v>139</v>
      </c>
      <c r="D14" s="130" t="s">
        <v>137</v>
      </c>
      <c r="E14" s="130" t="s">
        <v>148</v>
      </c>
      <c r="F14" s="130" t="s">
        <v>140</v>
      </c>
      <c r="G14" s="131" t="s">
        <v>149</v>
      </c>
      <c r="H14" s="177">
        <v>400172</v>
      </c>
      <c r="I14" s="132">
        <v>0</v>
      </c>
      <c r="J14" s="272">
        <f t="shared" si="2"/>
        <v>400172</v>
      </c>
      <c r="K14" s="177">
        <f t="shared" si="3"/>
        <v>400172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3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274">
        <f t="shared" si="4"/>
        <v>400172</v>
      </c>
      <c r="X14" s="177">
        <f t="shared" si="5"/>
        <v>400172</v>
      </c>
      <c r="Y14" s="132">
        <f t="shared" si="5"/>
        <v>0</v>
      </c>
      <c r="Z14" s="132">
        <f t="shared" si="5"/>
        <v>0</v>
      </c>
      <c r="AA14" s="132">
        <f t="shared" si="5"/>
        <v>0</v>
      </c>
      <c r="AB14" s="132">
        <f t="shared" si="5"/>
        <v>0</v>
      </c>
      <c r="AC14" s="132">
        <f t="shared" si="5"/>
        <v>0</v>
      </c>
      <c r="AD14" s="133">
        <f t="shared" si="5"/>
        <v>0</v>
      </c>
      <c r="AE14" s="132">
        <f t="shared" si="5"/>
        <v>0</v>
      </c>
      <c r="AF14" s="132">
        <f t="shared" si="5"/>
        <v>0</v>
      </c>
      <c r="AG14" s="132">
        <f t="shared" si="5"/>
        <v>0</v>
      </c>
      <c r="AH14" s="132">
        <f t="shared" si="6"/>
        <v>0</v>
      </c>
      <c r="AI14" s="132">
        <f t="shared" si="7"/>
        <v>0</v>
      </c>
      <c r="AJ14" s="274">
        <f t="shared" si="8"/>
        <v>400172</v>
      </c>
      <c r="AK14" s="177">
        <v>369384</v>
      </c>
      <c r="AL14" s="132">
        <v>28192</v>
      </c>
      <c r="AM14" s="132">
        <v>0</v>
      </c>
      <c r="AN14" s="132">
        <v>0</v>
      </c>
      <c r="AO14" s="132">
        <v>0</v>
      </c>
      <c r="AP14" s="132">
        <v>0</v>
      </c>
      <c r="AQ14" s="133">
        <v>0</v>
      </c>
      <c r="AR14" s="132">
        <v>0</v>
      </c>
      <c r="AS14" s="132">
        <v>0</v>
      </c>
      <c r="AT14" s="132">
        <v>0</v>
      </c>
      <c r="AU14" s="132">
        <v>2580</v>
      </c>
      <c r="AV14" s="132">
        <v>0</v>
      </c>
      <c r="AW14" s="272">
        <f t="shared" si="9"/>
        <v>400156</v>
      </c>
      <c r="AX14" s="294">
        <f t="shared" si="10"/>
        <v>0</v>
      </c>
      <c r="AY14" s="296">
        <f t="shared" si="11"/>
        <v>16</v>
      </c>
    </row>
    <row r="15" spans="1:51" ht="19.5" customHeight="1">
      <c r="A15" s="136" t="s">
        <v>133</v>
      </c>
      <c r="B15" s="130" t="s">
        <v>136</v>
      </c>
      <c r="C15" s="130" t="s">
        <v>139</v>
      </c>
      <c r="D15" s="130" t="s">
        <v>142</v>
      </c>
      <c r="E15" s="130" t="s">
        <v>150</v>
      </c>
      <c r="F15" s="130" t="s">
        <v>140</v>
      </c>
      <c r="G15" s="131" t="s">
        <v>152</v>
      </c>
      <c r="H15" s="177">
        <v>7216516</v>
      </c>
      <c r="I15" s="132">
        <v>0</v>
      </c>
      <c r="J15" s="272">
        <f t="shared" si="2"/>
        <v>7216516</v>
      </c>
      <c r="K15" s="177">
        <f t="shared" si="3"/>
        <v>7216516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3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274">
        <f t="shared" si="4"/>
        <v>7216516</v>
      </c>
      <c r="X15" s="177">
        <f t="shared" si="5"/>
        <v>7216516</v>
      </c>
      <c r="Y15" s="132">
        <f t="shared" si="5"/>
        <v>0</v>
      </c>
      <c r="Z15" s="132">
        <f t="shared" si="5"/>
        <v>0</v>
      </c>
      <c r="AA15" s="132">
        <f t="shared" si="5"/>
        <v>0</v>
      </c>
      <c r="AB15" s="132">
        <f t="shared" si="5"/>
        <v>0</v>
      </c>
      <c r="AC15" s="132">
        <f t="shared" si="5"/>
        <v>0</v>
      </c>
      <c r="AD15" s="133">
        <f t="shared" si="5"/>
        <v>0</v>
      </c>
      <c r="AE15" s="132">
        <f t="shared" si="5"/>
        <v>0</v>
      </c>
      <c r="AF15" s="132">
        <f t="shared" si="5"/>
        <v>0</v>
      </c>
      <c r="AG15" s="132">
        <f t="shared" si="5"/>
        <v>0</v>
      </c>
      <c r="AH15" s="132">
        <f t="shared" si="6"/>
        <v>0</v>
      </c>
      <c r="AI15" s="132">
        <f t="shared" si="7"/>
        <v>0</v>
      </c>
      <c r="AJ15" s="274">
        <f t="shared" si="8"/>
        <v>7216516</v>
      </c>
      <c r="AK15" s="177">
        <v>180360</v>
      </c>
      <c r="AL15" s="132">
        <v>2251156</v>
      </c>
      <c r="AM15" s="132">
        <v>0</v>
      </c>
      <c r="AN15" s="132">
        <v>0</v>
      </c>
      <c r="AO15" s="132">
        <v>0</v>
      </c>
      <c r="AP15" s="132">
        <v>0</v>
      </c>
      <c r="AQ15" s="133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272">
        <f t="shared" si="9"/>
        <v>2431516</v>
      </c>
      <c r="AX15" s="294">
        <f t="shared" si="10"/>
        <v>0</v>
      </c>
      <c r="AY15" s="296">
        <f t="shared" si="11"/>
        <v>4785000</v>
      </c>
    </row>
    <row r="16" spans="1:51" ht="19.5" customHeight="1">
      <c r="A16" s="136" t="s">
        <v>133</v>
      </c>
      <c r="B16" s="130" t="s">
        <v>136</v>
      </c>
      <c r="C16" s="130" t="s">
        <v>139</v>
      </c>
      <c r="D16" s="130" t="s">
        <v>144</v>
      </c>
      <c r="E16" s="130"/>
      <c r="F16" s="130" t="s">
        <v>195</v>
      </c>
      <c r="G16" s="131" t="s">
        <v>153</v>
      </c>
      <c r="H16" s="177">
        <v>3458593</v>
      </c>
      <c r="I16" s="132">
        <v>0</v>
      </c>
      <c r="J16" s="272">
        <f t="shared" si="2"/>
        <v>3458593</v>
      </c>
      <c r="K16" s="177">
        <f t="shared" si="3"/>
        <v>3458593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3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274">
        <f t="shared" si="4"/>
        <v>3458593</v>
      </c>
      <c r="X16" s="177">
        <f t="shared" si="5"/>
        <v>3458593</v>
      </c>
      <c r="Y16" s="132">
        <f t="shared" si="5"/>
        <v>0</v>
      </c>
      <c r="Z16" s="132">
        <f t="shared" si="5"/>
        <v>0</v>
      </c>
      <c r="AA16" s="132">
        <f t="shared" si="5"/>
        <v>0</v>
      </c>
      <c r="AB16" s="132">
        <f t="shared" si="5"/>
        <v>0</v>
      </c>
      <c r="AC16" s="132">
        <f t="shared" si="5"/>
        <v>0</v>
      </c>
      <c r="AD16" s="133">
        <f t="shared" si="5"/>
        <v>0</v>
      </c>
      <c r="AE16" s="132">
        <f t="shared" si="5"/>
        <v>0</v>
      </c>
      <c r="AF16" s="132">
        <f t="shared" si="5"/>
        <v>0</v>
      </c>
      <c r="AG16" s="132">
        <f t="shared" si="5"/>
        <v>0</v>
      </c>
      <c r="AH16" s="132">
        <f t="shared" si="6"/>
        <v>0</v>
      </c>
      <c r="AI16" s="132">
        <f t="shared" si="7"/>
        <v>0</v>
      </c>
      <c r="AJ16" s="274">
        <f t="shared" si="8"/>
        <v>3458593</v>
      </c>
      <c r="AK16" s="177">
        <v>2971731</v>
      </c>
      <c r="AL16" s="132">
        <v>278408</v>
      </c>
      <c r="AM16" s="132">
        <v>64542</v>
      </c>
      <c r="AN16" s="132">
        <v>0</v>
      </c>
      <c r="AO16" s="132">
        <v>141320</v>
      </c>
      <c r="AP16" s="132">
        <v>0</v>
      </c>
      <c r="AQ16" s="133">
        <v>0</v>
      </c>
      <c r="AR16" s="132">
        <v>0</v>
      </c>
      <c r="AS16" s="132">
        <v>0</v>
      </c>
      <c r="AT16" s="132">
        <v>2192</v>
      </c>
      <c r="AU16" s="132">
        <v>400</v>
      </c>
      <c r="AV16" s="132">
        <v>0</v>
      </c>
      <c r="AW16" s="272">
        <f t="shared" si="9"/>
        <v>3458593</v>
      </c>
      <c r="AX16" s="294">
        <f t="shared" si="10"/>
        <v>0</v>
      </c>
      <c r="AY16" s="296">
        <f t="shared" si="11"/>
        <v>0</v>
      </c>
    </row>
    <row r="17" spans="1:51" ht="19.5" customHeight="1">
      <c r="A17" s="136" t="s">
        <v>133</v>
      </c>
      <c r="B17" s="130" t="s">
        <v>136</v>
      </c>
      <c r="C17" s="130" t="s">
        <v>139</v>
      </c>
      <c r="D17" s="130" t="s">
        <v>146</v>
      </c>
      <c r="E17" s="130"/>
      <c r="F17" s="130" t="s">
        <v>140</v>
      </c>
      <c r="G17" s="131" t="s">
        <v>154</v>
      </c>
      <c r="H17" s="177">
        <v>3671490</v>
      </c>
      <c r="I17" s="132">
        <v>0</v>
      </c>
      <c r="J17" s="272">
        <f t="shared" si="2"/>
        <v>3671490</v>
      </c>
      <c r="K17" s="177">
        <f t="shared" si="3"/>
        <v>3671490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3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274">
        <f t="shared" si="4"/>
        <v>3671490</v>
      </c>
      <c r="X17" s="177">
        <f t="shared" si="5"/>
        <v>3671490</v>
      </c>
      <c r="Y17" s="132">
        <f t="shared" si="5"/>
        <v>0</v>
      </c>
      <c r="Z17" s="132">
        <f t="shared" si="5"/>
        <v>0</v>
      </c>
      <c r="AA17" s="132">
        <f t="shared" si="5"/>
        <v>0</v>
      </c>
      <c r="AB17" s="132">
        <f t="shared" si="5"/>
        <v>0</v>
      </c>
      <c r="AC17" s="132">
        <f t="shared" si="5"/>
        <v>0</v>
      </c>
      <c r="AD17" s="133">
        <f t="shared" si="5"/>
        <v>0</v>
      </c>
      <c r="AE17" s="132">
        <f t="shared" si="5"/>
        <v>0</v>
      </c>
      <c r="AF17" s="132">
        <f t="shared" si="5"/>
        <v>0</v>
      </c>
      <c r="AG17" s="132">
        <f t="shared" si="5"/>
        <v>0</v>
      </c>
      <c r="AH17" s="132">
        <f t="shared" si="6"/>
        <v>0</v>
      </c>
      <c r="AI17" s="132">
        <f t="shared" si="7"/>
        <v>0</v>
      </c>
      <c r="AJ17" s="274">
        <f t="shared" si="8"/>
        <v>3671490</v>
      </c>
      <c r="AK17" s="177">
        <v>3452252</v>
      </c>
      <c r="AL17" s="132">
        <v>18027</v>
      </c>
      <c r="AM17" s="132">
        <v>18637</v>
      </c>
      <c r="AN17" s="132">
        <v>2600</v>
      </c>
      <c r="AO17" s="132">
        <v>176651</v>
      </c>
      <c r="AP17" s="132">
        <v>0</v>
      </c>
      <c r="AQ17" s="133">
        <v>0</v>
      </c>
      <c r="AR17" s="132">
        <v>0</v>
      </c>
      <c r="AS17" s="132">
        <v>0</v>
      </c>
      <c r="AT17" s="132">
        <v>3323</v>
      </c>
      <c r="AU17" s="132"/>
      <c r="AV17" s="132">
        <v>0</v>
      </c>
      <c r="AW17" s="272">
        <f t="shared" si="9"/>
        <v>3671490</v>
      </c>
      <c r="AX17" s="294">
        <f t="shared" si="10"/>
        <v>0</v>
      </c>
      <c r="AY17" s="296">
        <f t="shared" si="11"/>
        <v>0</v>
      </c>
    </row>
    <row r="18" spans="1:51" s="102" customFormat="1" ht="19.5" customHeight="1">
      <c r="A18" s="186" t="s">
        <v>133</v>
      </c>
      <c r="B18" s="187" t="s">
        <v>136</v>
      </c>
      <c r="C18" s="188" t="s">
        <v>142</v>
      </c>
      <c r="D18" s="187"/>
      <c r="E18" s="187"/>
      <c r="F18" s="187"/>
      <c r="G18" s="189" t="s">
        <v>157</v>
      </c>
      <c r="H18" s="190">
        <f>SUM(H19:H21)</f>
        <v>273582604</v>
      </c>
      <c r="I18" s="191">
        <f aca="true" t="shared" si="12" ref="I18:AY18">SUM(I19:I21)</f>
        <v>0</v>
      </c>
      <c r="J18" s="192">
        <f t="shared" si="12"/>
        <v>273582604</v>
      </c>
      <c r="K18" s="190">
        <f t="shared" si="12"/>
        <v>273582604</v>
      </c>
      <c r="L18" s="191">
        <f t="shared" si="12"/>
        <v>0</v>
      </c>
      <c r="M18" s="191">
        <f t="shared" si="12"/>
        <v>0</v>
      </c>
      <c r="N18" s="191">
        <f t="shared" si="12"/>
        <v>0</v>
      </c>
      <c r="O18" s="191">
        <f t="shared" si="12"/>
        <v>0</v>
      </c>
      <c r="P18" s="191">
        <f t="shared" si="12"/>
        <v>0</v>
      </c>
      <c r="Q18" s="193">
        <f t="shared" si="12"/>
        <v>0</v>
      </c>
      <c r="R18" s="191">
        <f t="shared" si="12"/>
        <v>0</v>
      </c>
      <c r="S18" s="191">
        <f t="shared" si="12"/>
        <v>0</v>
      </c>
      <c r="T18" s="191">
        <f t="shared" si="12"/>
        <v>0</v>
      </c>
      <c r="U18" s="191">
        <f t="shared" si="12"/>
        <v>0</v>
      </c>
      <c r="V18" s="191">
        <f t="shared" si="12"/>
        <v>-253520</v>
      </c>
      <c r="W18" s="192">
        <f t="shared" si="12"/>
        <v>273329084</v>
      </c>
      <c r="X18" s="190">
        <f t="shared" si="12"/>
        <v>273582604</v>
      </c>
      <c r="Y18" s="191">
        <f t="shared" si="12"/>
        <v>0</v>
      </c>
      <c r="Z18" s="191">
        <f t="shared" si="12"/>
        <v>0</v>
      </c>
      <c r="AA18" s="191">
        <f t="shared" si="12"/>
        <v>0</v>
      </c>
      <c r="AB18" s="191">
        <f t="shared" si="12"/>
        <v>0</v>
      </c>
      <c r="AC18" s="191">
        <f t="shared" si="12"/>
        <v>0</v>
      </c>
      <c r="AD18" s="193">
        <f t="shared" si="12"/>
        <v>0</v>
      </c>
      <c r="AE18" s="191">
        <f t="shared" si="12"/>
        <v>0</v>
      </c>
      <c r="AF18" s="191">
        <f t="shared" si="12"/>
        <v>0</v>
      </c>
      <c r="AG18" s="191">
        <f t="shared" si="12"/>
        <v>0</v>
      </c>
      <c r="AH18" s="191">
        <f t="shared" si="12"/>
        <v>0</v>
      </c>
      <c r="AI18" s="191">
        <f t="shared" si="12"/>
        <v>-253520</v>
      </c>
      <c r="AJ18" s="192">
        <f t="shared" si="12"/>
        <v>273329084</v>
      </c>
      <c r="AK18" s="190">
        <f t="shared" si="12"/>
        <v>50289484</v>
      </c>
      <c r="AL18" s="191">
        <f t="shared" si="12"/>
        <v>56601506</v>
      </c>
      <c r="AM18" s="191">
        <f t="shared" si="12"/>
        <v>20166057</v>
      </c>
      <c r="AN18" s="191">
        <f t="shared" si="12"/>
        <v>24249989</v>
      </c>
      <c r="AO18" s="191">
        <f t="shared" si="12"/>
        <v>13751240</v>
      </c>
      <c r="AP18" s="191">
        <f t="shared" si="12"/>
        <v>7396626</v>
      </c>
      <c r="AQ18" s="193">
        <f t="shared" si="12"/>
        <v>7538783</v>
      </c>
      <c r="AR18" s="191">
        <f t="shared" si="12"/>
        <v>8382159</v>
      </c>
      <c r="AS18" s="191">
        <f t="shared" si="12"/>
        <v>206582</v>
      </c>
      <c r="AT18" s="191">
        <f t="shared" si="12"/>
        <v>3647673</v>
      </c>
      <c r="AU18" s="191">
        <f t="shared" si="12"/>
        <v>55149</v>
      </c>
      <c r="AV18" s="191">
        <f t="shared" si="12"/>
        <v>36116</v>
      </c>
      <c r="AW18" s="192">
        <f t="shared" si="12"/>
        <v>192321364</v>
      </c>
      <c r="AX18" s="291">
        <f t="shared" si="12"/>
        <v>253520</v>
      </c>
      <c r="AY18" s="293">
        <f t="shared" si="12"/>
        <v>81007720</v>
      </c>
    </row>
    <row r="19" spans="1:51" ht="19.5" customHeight="1">
      <c r="A19" s="136" t="s">
        <v>133</v>
      </c>
      <c r="B19" s="130" t="s">
        <v>136</v>
      </c>
      <c r="C19" s="130" t="s">
        <v>158</v>
      </c>
      <c r="D19" s="130" t="s">
        <v>137</v>
      </c>
      <c r="E19" s="130"/>
      <c r="F19" s="130" t="s">
        <v>195</v>
      </c>
      <c r="G19" s="131" t="s">
        <v>159</v>
      </c>
      <c r="H19" s="177">
        <v>7893296</v>
      </c>
      <c r="I19" s="132">
        <v>0</v>
      </c>
      <c r="J19" s="272">
        <f>SUM(H19:I19)</f>
        <v>7893296</v>
      </c>
      <c r="K19" s="177">
        <f>J19</f>
        <v>7893296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3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274">
        <f t="shared" si="4"/>
        <v>7893296</v>
      </c>
      <c r="X19" s="177">
        <f aca="true" t="shared" si="13" ref="X19:AG21">K19</f>
        <v>7893296</v>
      </c>
      <c r="Y19" s="132">
        <f t="shared" si="13"/>
        <v>0</v>
      </c>
      <c r="Z19" s="132">
        <f t="shared" si="13"/>
        <v>0</v>
      </c>
      <c r="AA19" s="132">
        <f t="shared" si="13"/>
        <v>0</v>
      </c>
      <c r="AB19" s="132">
        <f t="shared" si="13"/>
        <v>0</v>
      </c>
      <c r="AC19" s="132">
        <f t="shared" si="13"/>
        <v>0</v>
      </c>
      <c r="AD19" s="133">
        <f t="shared" si="13"/>
        <v>0</v>
      </c>
      <c r="AE19" s="132">
        <f t="shared" si="13"/>
        <v>0</v>
      </c>
      <c r="AF19" s="132">
        <f t="shared" si="13"/>
        <v>0</v>
      </c>
      <c r="AG19" s="132">
        <f t="shared" si="13"/>
        <v>0</v>
      </c>
      <c r="AH19" s="132">
        <f aca="true" t="shared" si="14" ref="AH19:AI21">U19</f>
        <v>0</v>
      </c>
      <c r="AI19" s="132">
        <f t="shared" si="14"/>
        <v>0</v>
      </c>
      <c r="AJ19" s="274">
        <f t="shared" si="8"/>
        <v>7893296</v>
      </c>
      <c r="AK19" s="177">
        <v>2148009</v>
      </c>
      <c r="AL19" s="132">
        <v>5745287</v>
      </c>
      <c r="AM19" s="132">
        <v>0</v>
      </c>
      <c r="AN19" s="132">
        <v>0</v>
      </c>
      <c r="AO19" s="132">
        <v>0</v>
      </c>
      <c r="AP19" s="132">
        <v>0</v>
      </c>
      <c r="AQ19" s="133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272">
        <f t="shared" si="9"/>
        <v>7893296</v>
      </c>
      <c r="AX19" s="294">
        <f t="shared" si="10"/>
        <v>0</v>
      </c>
      <c r="AY19" s="296">
        <f t="shared" si="11"/>
        <v>0</v>
      </c>
    </row>
    <row r="20" spans="1:51" ht="19.5" customHeight="1">
      <c r="A20" s="136" t="s">
        <v>133</v>
      </c>
      <c r="B20" s="130" t="s">
        <v>136</v>
      </c>
      <c r="C20" s="130" t="s">
        <v>158</v>
      </c>
      <c r="D20" s="130" t="s">
        <v>142</v>
      </c>
      <c r="E20" s="130"/>
      <c r="F20" s="130" t="s">
        <v>195</v>
      </c>
      <c r="G20" s="131" t="s">
        <v>160</v>
      </c>
      <c r="H20" s="177">
        <v>153698197</v>
      </c>
      <c r="I20" s="132">
        <v>0</v>
      </c>
      <c r="J20" s="272">
        <f>SUM(H20:I20)</f>
        <v>153698197</v>
      </c>
      <c r="K20" s="177">
        <f>J20</f>
        <v>153698197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3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274">
        <f t="shared" si="4"/>
        <v>153698197</v>
      </c>
      <c r="X20" s="177">
        <f t="shared" si="13"/>
        <v>153698197</v>
      </c>
      <c r="Y20" s="132">
        <f t="shared" si="13"/>
        <v>0</v>
      </c>
      <c r="Z20" s="132">
        <f t="shared" si="13"/>
        <v>0</v>
      </c>
      <c r="AA20" s="132">
        <f t="shared" si="13"/>
        <v>0</v>
      </c>
      <c r="AB20" s="132">
        <f t="shared" si="13"/>
        <v>0</v>
      </c>
      <c r="AC20" s="132">
        <f t="shared" si="13"/>
        <v>0</v>
      </c>
      <c r="AD20" s="133">
        <f t="shared" si="13"/>
        <v>0</v>
      </c>
      <c r="AE20" s="132">
        <f t="shared" si="13"/>
        <v>0</v>
      </c>
      <c r="AF20" s="132">
        <f t="shared" si="13"/>
        <v>0</v>
      </c>
      <c r="AG20" s="132">
        <f t="shared" si="13"/>
        <v>0</v>
      </c>
      <c r="AH20" s="132">
        <f t="shared" si="14"/>
        <v>0</v>
      </c>
      <c r="AI20" s="132">
        <f t="shared" si="14"/>
        <v>0</v>
      </c>
      <c r="AJ20" s="274">
        <f t="shared" si="8"/>
        <v>153698197</v>
      </c>
      <c r="AK20" s="177">
        <v>36579712</v>
      </c>
      <c r="AL20" s="132">
        <v>50819453</v>
      </c>
      <c r="AM20" s="132">
        <v>14990075</v>
      </c>
      <c r="AN20" s="132">
        <v>14080321</v>
      </c>
      <c r="AO20" s="132">
        <v>11200695</v>
      </c>
      <c r="AP20" s="132">
        <v>7355264</v>
      </c>
      <c r="AQ20" s="133">
        <v>7538783</v>
      </c>
      <c r="AR20" s="132">
        <v>8382159</v>
      </c>
      <c r="AS20" s="132">
        <v>206582</v>
      </c>
      <c r="AT20" s="132">
        <v>2545153</v>
      </c>
      <c r="AU20" s="132">
        <v>0</v>
      </c>
      <c r="AV20" s="132">
        <v>0</v>
      </c>
      <c r="AW20" s="272">
        <f t="shared" si="9"/>
        <v>153698197</v>
      </c>
      <c r="AX20" s="294">
        <f t="shared" si="10"/>
        <v>0</v>
      </c>
      <c r="AY20" s="296">
        <f t="shared" si="11"/>
        <v>0</v>
      </c>
    </row>
    <row r="21" spans="1:51" ht="19.5" customHeight="1" thickBot="1">
      <c r="A21" s="137" t="s">
        <v>133</v>
      </c>
      <c r="B21" s="138" t="s">
        <v>136</v>
      </c>
      <c r="C21" s="138" t="s">
        <v>158</v>
      </c>
      <c r="D21" s="138" t="s">
        <v>144</v>
      </c>
      <c r="E21" s="138"/>
      <c r="F21" s="138" t="s">
        <v>195</v>
      </c>
      <c r="G21" s="194" t="s">
        <v>161</v>
      </c>
      <c r="H21" s="178">
        <v>111991111</v>
      </c>
      <c r="I21" s="141">
        <v>0</v>
      </c>
      <c r="J21" s="273">
        <f>SUM(H21:I21)</f>
        <v>111991111</v>
      </c>
      <c r="K21" s="178">
        <f>J21</f>
        <v>111991111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2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-253520</v>
      </c>
      <c r="W21" s="275">
        <f t="shared" si="4"/>
        <v>111737591</v>
      </c>
      <c r="X21" s="178">
        <f t="shared" si="13"/>
        <v>111991111</v>
      </c>
      <c r="Y21" s="141">
        <f t="shared" si="13"/>
        <v>0</v>
      </c>
      <c r="Z21" s="141">
        <f t="shared" si="13"/>
        <v>0</v>
      </c>
      <c r="AA21" s="141">
        <f t="shared" si="13"/>
        <v>0</v>
      </c>
      <c r="AB21" s="141">
        <f t="shared" si="13"/>
        <v>0</v>
      </c>
      <c r="AC21" s="141">
        <f t="shared" si="13"/>
        <v>0</v>
      </c>
      <c r="AD21" s="142">
        <f t="shared" si="13"/>
        <v>0</v>
      </c>
      <c r="AE21" s="141">
        <f t="shared" si="13"/>
        <v>0</v>
      </c>
      <c r="AF21" s="141">
        <f t="shared" si="13"/>
        <v>0</v>
      </c>
      <c r="AG21" s="141">
        <f t="shared" si="13"/>
        <v>0</v>
      </c>
      <c r="AH21" s="141">
        <f t="shared" si="14"/>
        <v>0</v>
      </c>
      <c r="AI21" s="141">
        <f t="shared" si="14"/>
        <v>-253520</v>
      </c>
      <c r="AJ21" s="275">
        <f t="shared" si="8"/>
        <v>111737591</v>
      </c>
      <c r="AK21" s="178">
        <v>11561763</v>
      </c>
      <c r="AL21" s="141">
        <v>36766</v>
      </c>
      <c r="AM21" s="141">
        <v>5175982</v>
      </c>
      <c r="AN21" s="141">
        <v>10169668</v>
      </c>
      <c r="AO21" s="141">
        <v>2550545</v>
      </c>
      <c r="AP21" s="141">
        <v>41362</v>
      </c>
      <c r="AQ21" s="142">
        <v>0</v>
      </c>
      <c r="AR21" s="141">
        <v>0</v>
      </c>
      <c r="AS21" s="141">
        <v>0</v>
      </c>
      <c r="AT21" s="141">
        <v>1102520</v>
      </c>
      <c r="AU21" s="141">
        <v>55149</v>
      </c>
      <c r="AV21" s="141">
        <v>36116</v>
      </c>
      <c r="AW21" s="273">
        <f t="shared" si="9"/>
        <v>30729871</v>
      </c>
      <c r="AX21" s="297">
        <f t="shared" si="10"/>
        <v>253520</v>
      </c>
      <c r="AY21" s="299">
        <f t="shared" si="11"/>
        <v>81007720</v>
      </c>
    </row>
    <row r="22" spans="1:51" ht="13.5" thickBot="1">
      <c r="A22" s="38"/>
      <c r="B22" s="38"/>
      <c r="C22" s="38"/>
      <c r="D22" s="38"/>
      <c r="E22" s="38"/>
      <c r="F22" s="38"/>
      <c r="G22" s="39"/>
      <c r="H22" s="36"/>
      <c r="I22" s="36"/>
      <c r="J22" s="36"/>
      <c r="K22" s="36"/>
      <c r="L22" s="36"/>
      <c r="M22" s="36"/>
      <c r="N22" s="36"/>
      <c r="O22" s="36"/>
      <c r="P22" s="36"/>
      <c r="Q22" s="40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40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40"/>
      <c r="AR22" s="36"/>
      <c r="AS22" s="36"/>
      <c r="AT22" s="36"/>
      <c r="AU22" s="36"/>
      <c r="AV22" s="36"/>
      <c r="AW22" s="36"/>
      <c r="AX22" s="36"/>
      <c r="AY22" s="36"/>
    </row>
    <row r="23" spans="1:51" ht="19.5" customHeight="1" thickBot="1">
      <c r="A23" s="179" t="s">
        <v>177</v>
      </c>
      <c r="B23" s="180"/>
      <c r="C23" s="180"/>
      <c r="D23" s="180"/>
      <c r="E23" s="180"/>
      <c r="F23" s="180"/>
      <c r="G23" s="181" t="s">
        <v>178</v>
      </c>
      <c r="H23" s="182">
        <f aca="true" t="shared" si="15" ref="H23:AY23">H27+H39</f>
        <v>21042816548</v>
      </c>
      <c r="I23" s="183">
        <f t="shared" si="15"/>
        <v>0</v>
      </c>
      <c r="J23" s="184">
        <f t="shared" si="15"/>
        <v>21042816548</v>
      </c>
      <c r="K23" s="182">
        <f t="shared" si="15"/>
        <v>21042816548</v>
      </c>
      <c r="L23" s="183">
        <f t="shared" si="15"/>
        <v>0</v>
      </c>
      <c r="M23" s="183">
        <f t="shared" si="15"/>
        <v>0</v>
      </c>
      <c r="N23" s="183">
        <f t="shared" si="15"/>
        <v>0</v>
      </c>
      <c r="O23" s="183">
        <f t="shared" si="15"/>
        <v>0</v>
      </c>
      <c r="P23" s="183">
        <f t="shared" si="15"/>
        <v>0</v>
      </c>
      <c r="Q23" s="185">
        <f t="shared" si="15"/>
        <v>0</v>
      </c>
      <c r="R23" s="183">
        <f t="shared" si="15"/>
        <v>0</v>
      </c>
      <c r="S23" s="183">
        <f t="shared" si="15"/>
        <v>0</v>
      </c>
      <c r="T23" s="183">
        <f t="shared" si="15"/>
        <v>0</v>
      </c>
      <c r="U23" s="183">
        <f t="shared" si="15"/>
        <v>0</v>
      </c>
      <c r="V23" s="183">
        <f t="shared" si="15"/>
        <v>0</v>
      </c>
      <c r="W23" s="184">
        <f t="shared" si="15"/>
        <v>21042816548</v>
      </c>
      <c r="X23" s="182">
        <f t="shared" si="15"/>
        <v>21042816548</v>
      </c>
      <c r="Y23" s="183">
        <f t="shared" si="15"/>
        <v>0</v>
      </c>
      <c r="Z23" s="183">
        <f t="shared" si="15"/>
        <v>0</v>
      </c>
      <c r="AA23" s="183">
        <f t="shared" si="15"/>
        <v>0</v>
      </c>
      <c r="AB23" s="183">
        <f t="shared" si="15"/>
        <v>0</v>
      </c>
      <c r="AC23" s="183">
        <f t="shared" si="15"/>
        <v>0</v>
      </c>
      <c r="AD23" s="185">
        <f t="shared" si="15"/>
        <v>0</v>
      </c>
      <c r="AE23" s="183">
        <f t="shared" si="15"/>
        <v>0</v>
      </c>
      <c r="AF23" s="183">
        <f t="shared" si="15"/>
        <v>0</v>
      </c>
      <c r="AG23" s="183">
        <f t="shared" si="15"/>
        <v>0</v>
      </c>
      <c r="AH23" s="183">
        <f t="shared" si="15"/>
        <v>0</v>
      </c>
      <c r="AI23" s="183">
        <f t="shared" si="15"/>
        <v>0</v>
      </c>
      <c r="AJ23" s="184">
        <f t="shared" si="15"/>
        <v>21042816548</v>
      </c>
      <c r="AK23" s="182">
        <f t="shared" si="15"/>
        <v>2976735473</v>
      </c>
      <c r="AL23" s="183">
        <f t="shared" si="15"/>
        <v>2716695045</v>
      </c>
      <c r="AM23" s="183">
        <f t="shared" si="15"/>
        <v>4909303808</v>
      </c>
      <c r="AN23" s="183">
        <f t="shared" si="15"/>
        <v>1206282339</v>
      </c>
      <c r="AO23" s="183">
        <f t="shared" si="15"/>
        <v>1265066097</v>
      </c>
      <c r="AP23" s="183">
        <f t="shared" si="15"/>
        <v>6433160</v>
      </c>
      <c r="AQ23" s="185">
        <f t="shared" si="15"/>
        <v>145082765</v>
      </c>
      <c r="AR23" s="183">
        <f t="shared" si="15"/>
        <v>3165282050</v>
      </c>
      <c r="AS23" s="183">
        <f t="shared" si="15"/>
        <v>2000691628</v>
      </c>
      <c r="AT23" s="183">
        <f t="shared" si="15"/>
        <v>2559458314</v>
      </c>
      <c r="AU23" s="183">
        <f t="shared" si="15"/>
        <v>9545279</v>
      </c>
      <c r="AV23" s="183">
        <f t="shared" si="15"/>
        <v>10435125</v>
      </c>
      <c r="AW23" s="184">
        <f t="shared" si="15"/>
        <v>20971011083</v>
      </c>
      <c r="AX23" s="182">
        <f t="shared" si="15"/>
        <v>0</v>
      </c>
      <c r="AY23" s="184">
        <f t="shared" si="15"/>
        <v>71805465</v>
      </c>
    </row>
    <row r="24" spans="1:51" ht="13.5" thickBot="1">
      <c r="A24" s="38"/>
      <c r="B24" s="38"/>
      <c r="C24" s="38"/>
      <c r="D24" s="38"/>
      <c r="E24" s="38"/>
      <c r="F24" s="38"/>
      <c r="G24" s="39"/>
      <c r="H24" s="36"/>
      <c r="I24" s="36"/>
      <c r="J24" s="36"/>
      <c r="K24" s="36"/>
      <c r="L24" s="36"/>
      <c r="M24" s="36"/>
      <c r="N24" s="36"/>
      <c r="O24" s="36"/>
      <c r="P24" s="36"/>
      <c r="Q24" s="40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40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40"/>
      <c r="AR24" s="36"/>
      <c r="AS24" s="36"/>
      <c r="AT24" s="36"/>
      <c r="AU24" s="36"/>
      <c r="AV24" s="36"/>
      <c r="AW24" s="36"/>
      <c r="AX24" s="36"/>
      <c r="AY24" s="36"/>
    </row>
    <row r="25" spans="1:51" ht="13.5" thickBot="1">
      <c r="A25" s="124" t="s">
        <v>132</v>
      </c>
      <c r="B25" s="125"/>
      <c r="C25" s="125"/>
      <c r="D25" s="125"/>
      <c r="E25" s="125"/>
      <c r="F25" s="125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8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8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8"/>
      <c r="AR25" s="127"/>
      <c r="AS25" s="127"/>
      <c r="AT25" s="127"/>
      <c r="AU25" s="127"/>
      <c r="AV25" s="127"/>
      <c r="AW25" s="127"/>
      <c r="AX25" s="127"/>
      <c r="AY25" s="129"/>
    </row>
    <row r="26" spans="1:51" ht="13.5" thickBot="1">
      <c r="A26" s="38"/>
      <c r="B26" s="38"/>
      <c r="C26" s="38"/>
      <c r="D26" s="38"/>
      <c r="E26" s="38"/>
      <c r="F26" s="38"/>
      <c r="G26" s="39"/>
      <c r="H26" s="36"/>
      <c r="I26" s="36"/>
      <c r="J26" s="36"/>
      <c r="K26" s="36"/>
      <c r="L26" s="36"/>
      <c r="M26" s="36"/>
      <c r="N26" s="36"/>
      <c r="O26" s="36"/>
      <c r="P26" s="36"/>
      <c r="Q26" s="40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40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40"/>
      <c r="AR26" s="36"/>
      <c r="AS26" s="36"/>
      <c r="AT26" s="36"/>
      <c r="AU26" s="36"/>
      <c r="AV26" s="36"/>
      <c r="AW26" s="36"/>
      <c r="AX26" s="36"/>
      <c r="AY26" s="36"/>
    </row>
    <row r="27" spans="1:51" ht="19.5" customHeight="1" thickBot="1">
      <c r="A27" s="179" t="s">
        <v>177</v>
      </c>
      <c r="B27" s="180"/>
      <c r="C27" s="180"/>
      <c r="D27" s="180"/>
      <c r="E27" s="180"/>
      <c r="F27" s="180"/>
      <c r="G27" s="203" t="s">
        <v>179</v>
      </c>
      <c r="H27" s="182">
        <f>H28+H31+H33</f>
        <v>6147653828</v>
      </c>
      <c r="I27" s="183">
        <f>I28+I31+I33</f>
        <v>0</v>
      </c>
      <c r="J27" s="184">
        <f aca="true" t="shared" si="16" ref="J27:J35">SUM(H27:I27)</f>
        <v>6147653828</v>
      </c>
      <c r="K27" s="182">
        <f aca="true" t="shared" si="17" ref="K27:V27">K28+K31+K33</f>
        <v>6147653828</v>
      </c>
      <c r="L27" s="183">
        <f t="shared" si="17"/>
        <v>0</v>
      </c>
      <c r="M27" s="183">
        <f t="shared" si="17"/>
        <v>0</v>
      </c>
      <c r="N27" s="183">
        <f t="shared" si="17"/>
        <v>0</v>
      </c>
      <c r="O27" s="183">
        <f t="shared" si="17"/>
        <v>0</v>
      </c>
      <c r="P27" s="183">
        <f t="shared" si="17"/>
        <v>0</v>
      </c>
      <c r="Q27" s="185">
        <f t="shared" si="17"/>
        <v>0</v>
      </c>
      <c r="R27" s="183">
        <f t="shared" si="17"/>
        <v>0</v>
      </c>
      <c r="S27" s="183">
        <f t="shared" si="17"/>
        <v>0</v>
      </c>
      <c r="T27" s="183">
        <f t="shared" si="17"/>
        <v>0</v>
      </c>
      <c r="U27" s="183">
        <f t="shared" si="17"/>
        <v>0</v>
      </c>
      <c r="V27" s="183">
        <f t="shared" si="17"/>
        <v>0</v>
      </c>
      <c r="W27" s="184">
        <f aca="true" t="shared" si="18" ref="W27:W35">SUM(K27:V27)</f>
        <v>6147653828</v>
      </c>
      <c r="X27" s="182">
        <f aca="true" t="shared" si="19" ref="X27:AI27">X28+X31+X33</f>
        <v>6147653828</v>
      </c>
      <c r="Y27" s="183">
        <f t="shared" si="19"/>
        <v>0</v>
      </c>
      <c r="Z27" s="183">
        <f t="shared" si="19"/>
        <v>0</v>
      </c>
      <c r="AA27" s="183">
        <f t="shared" si="19"/>
        <v>0</v>
      </c>
      <c r="AB27" s="183">
        <f t="shared" si="19"/>
        <v>0</v>
      </c>
      <c r="AC27" s="183">
        <f t="shared" si="19"/>
        <v>0</v>
      </c>
      <c r="AD27" s="185">
        <f t="shared" si="19"/>
        <v>0</v>
      </c>
      <c r="AE27" s="183">
        <f t="shared" si="19"/>
        <v>0</v>
      </c>
      <c r="AF27" s="183">
        <f t="shared" si="19"/>
        <v>0</v>
      </c>
      <c r="AG27" s="183">
        <f t="shared" si="19"/>
        <v>0</v>
      </c>
      <c r="AH27" s="183">
        <f t="shared" si="19"/>
        <v>0</v>
      </c>
      <c r="AI27" s="183">
        <f t="shared" si="19"/>
        <v>0</v>
      </c>
      <c r="AJ27" s="184">
        <f aca="true" t="shared" si="20" ref="AJ27:AJ35">SUM(X27:AI27)</f>
        <v>6147653828</v>
      </c>
      <c r="AK27" s="182">
        <f aca="true" t="shared" si="21" ref="AK27:AV27">AK28+AK31+AK33</f>
        <v>2976735473</v>
      </c>
      <c r="AL27" s="183">
        <f t="shared" si="21"/>
        <v>2071982062</v>
      </c>
      <c r="AM27" s="183">
        <f t="shared" si="21"/>
        <v>309475660</v>
      </c>
      <c r="AN27" s="183">
        <f t="shared" si="21"/>
        <v>458714900</v>
      </c>
      <c r="AO27" s="183">
        <f t="shared" si="21"/>
        <v>156427554</v>
      </c>
      <c r="AP27" s="183">
        <f t="shared" si="21"/>
        <v>6433160</v>
      </c>
      <c r="AQ27" s="185">
        <f t="shared" si="21"/>
        <v>107586765</v>
      </c>
      <c r="AR27" s="183">
        <f t="shared" si="21"/>
        <v>584640</v>
      </c>
      <c r="AS27" s="183">
        <f t="shared" si="21"/>
        <v>283700</v>
      </c>
      <c r="AT27" s="183">
        <f t="shared" si="21"/>
        <v>51103421</v>
      </c>
      <c r="AU27" s="183">
        <f t="shared" si="21"/>
        <v>0</v>
      </c>
      <c r="AV27" s="183">
        <f t="shared" si="21"/>
        <v>125</v>
      </c>
      <c r="AW27" s="184">
        <f aca="true" t="shared" si="22" ref="AW27:AW35">SUM(AK27:AV27)</f>
        <v>6139327460</v>
      </c>
      <c r="AX27" s="183">
        <f aca="true" t="shared" si="23" ref="AX27:AX35">J27-W27</f>
        <v>0</v>
      </c>
      <c r="AY27" s="184">
        <f aca="true" t="shared" si="24" ref="AY27:AY35">AJ27-AW27</f>
        <v>8326368</v>
      </c>
    </row>
    <row r="28" spans="1:51" ht="25.5">
      <c r="A28" s="186" t="s">
        <v>177</v>
      </c>
      <c r="B28" s="187" t="s">
        <v>136</v>
      </c>
      <c r="C28" s="187" t="s">
        <v>184</v>
      </c>
      <c r="D28" s="187"/>
      <c r="E28" s="187"/>
      <c r="F28" s="187"/>
      <c r="G28" s="204" t="s">
        <v>185</v>
      </c>
      <c r="H28" s="190">
        <f>SUM(H29:H30)</f>
        <v>236510508</v>
      </c>
      <c r="I28" s="191">
        <f>SUM(I29:I30)</f>
        <v>0</v>
      </c>
      <c r="J28" s="192">
        <f t="shared" si="16"/>
        <v>236510508</v>
      </c>
      <c r="K28" s="190">
        <f aca="true" t="shared" si="25" ref="K28:V28">SUM(K29:K30)</f>
        <v>236510508</v>
      </c>
      <c r="L28" s="191">
        <f t="shared" si="25"/>
        <v>0</v>
      </c>
      <c r="M28" s="191">
        <f t="shared" si="25"/>
        <v>0</v>
      </c>
      <c r="N28" s="191">
        <f t="shared" si="25"/>
        <v>0</v>
      </c>
      <c r="O28" s="191">
        <f t="shared" si="25"/>
        <v>0</v>
      </c>
      <c r="P28" s="191">
        <f t="shared" si="25"/>
        <v>0</v>
      </c>
      <c r="Q28" s="193">
        <f t="shared" si="25"/>
        <v>0</v>
      </c>
      <c r="R28" s="191">
        <f t="shared" si="25"/>
        <v>0</v>
      </c>
      <c r="S28" s="191">
        <f t="shared" si="25"/>
        <v>0</v>
      </c>
      <c r="T28" s="191">
        <f t="shared" si="25"/>
        <v>0</v>
      </c>
      <c r="U28" s="191">
        <f t="shared" si="25"/>
        <v>0</v>
      </c>
      <c r="V28" s="191">
        <f t="shared" si="25"/>
        <v>0</v>
      </c>
      <c r="W28" s="192">
        <f t="shared" si="18"/>
        <v>236510508</v>
      </c>
      <c r="X28" s="190">
        <f aca="true" t="shared" si="26" ref="X28:AI28">SUM(X29:X30)</f>
        <v>236510508</v>
      </c>
      <c r="Y28" s="191">
        <f t="shared" si="26"/>
        <v>0</v>
      </c>
      <c r="Z28" s="191">
        <f t="shared" si="26"/>
        <v>0</v>
      </c>
      <c r="AA28" s="191">
        <f t="shared" si="26"/>
        <v>0</v>
      </c>
      <c r="AB28" s="191">
        <f t="shared" si="26"/>
        <v>0</v>
      </c>
      <c r="AC28" s="191">
        <f t="shared" si="26"/>
        <v>0</v>
      </c>
      <c r="AD28" s="193">
        <f t="shared" si="26"/>
        <v>0</v>
      </c>
      <c r="AE28" s="191">
        <f t="shared" si="26"/>
        <v>0</v>
      </c>
      <c r="AF28" s="191">
        <f t="shared" si="26"/>
        <v>0</v>
      </c>
      <c r="AG28" s="191">
        <f t="shared" si="26"/>
        <v>0</v>
      </c>
      <c r="AH28" s="191">
        <f t="shared" si="26"/>
        <v>0</v>
      </c>
      <c r="AI28" s="191">
        <f t="shared" si="26"/>
        <v>0</v>
      </c>
      <c r="AJ28" s="192">
        <f t="shared" si="20"/>
        <v>236510508</v>
      </c>
      <c r="AK28" s="190">
        <f aca="true" t="shared" si="27" ref="AK28:AV28">SUM(AK29:AK30)</f>
        <v>0</v>
      </c>
      <c r="AL28" s="191">
        <f t="shared" si="27"/>
        <v>128823800</v>
      </c>
      <c r="AM28" s="191">
        <f t="shared" si="27"/>
        <v>18820500</v>
      </c>
      <c r="AN28" s="191">
        <f t="shared" si="27"/>
        <v>7938000</v>
      </c>
      <c r="AO28" s="191">
        <f t="shared" si="27"/>
        <v>1560880</v>
      </c>
      <c r="AP28" s="191">
        <f t="shared" si="27"/>
        <v>1757760</v>
      </c>
      <c r="AQ28" s="193">
        <f t="shared" si="27"/>
        <v>76665500</v>
      </c>
      <c r="AR28" s="191">
        <f t="shared" si="27"/>
        <v>584640</v>
      </c>
      <c r="AS28" s="191">
        <f t="shared" si="27"/>
        <v>283700</v>
      </c>
      <c r="AT28" s="191">
        <f t="shared" si="27"/>
        <v>62640</v>
      </c>
      <c r="AU28" s="191">
        <f t="shared" si="27"/>
        <v>0</v>
      </c>
      <c r="AV28" s="191">
        <f t="shared" si="27"/>
        <v>0</v>
      </c>
      <c r="AW28" s="192">
        <f t="shared" si="22"/>
        <v>236497420</v>
      </c>
      <c r="AX28" s="300">
        <f t="shared" si="23"/>
        <v>0</v>
      </c>
      <c r="AY28" s="293">
        <f t="shared" si="24"/>
        <v>13088</v>
      </c>
    </row>
    <row r="29" spans="1:51" ht="25.5">
      <c r="A29" s="136" t="s">
        <v>177</v>
      </c>
      <c r="B29" s="130" t="s">
        <v>136</v>
      </c>
      <c r="C29" s="130" t="s">
        <v>184</v>
      </c>
      <c r="D29" s="130" t="s">
        <v>192</v>
      </c>
      <c r="E29" s="130" t="s">
        <v>142</v>
      </c>
      <c r="F29" s="130" t="s">
        <v>140</v>
      </c>
      <c r="G29" s="205" t="s">
        <v>197</v>
      </c>
      <c r="H29" s="177">
        <v>230270508</v>
      </c>
      <c r="I29" s="132">
        <v>0</v>
      </c>
      <c r="J29" s="272">
        <f t="shared" si="16"/>
        <v>230270508</v>
      </c>
      <c r="K29" s="177">
        <f>J29</f>
        <v>230270508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3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274">
        <f t="shared" si="18"/>
        <v>230270508</v>
      </c>
      <c r="X29" s="177">
        <f aca="true" t="shared" si="28" ref="X29:AI30">K29</f>
        <v>230270508</v>
      </c>
      <c r="Y29" s="132">
        <f t="shared" si="28"/>
        <v>0</v>
      </c>
      <c r="Z29" s="132">
        <f t="shared" si="28"/>
        <v>0</v>
      </c>
      <c r="AA29" s="132">
        <f t="shared" si="28"/>
        <v>0</v>
      </c>
      <c r="AB29" s="132">
        <f t="shared" si="28"/>
        <v>0</v>
      </c>
      <c r="AC29" s="132">
        <f t="shared" si="28"/>
        <v>0</v>
      </c>
      <c r="AD29" s="133">
        <f t="shared" si="28"/>
        <v>0</v>
      </c>
      <c r="AE29" s="132">
        <f t="shared" si="28"/>
        <v>0</v>
      </c>
      <c r="AF29" s="132">
        <f t="shared" si="28"/>
        <v>0</v>
      </c>
      <c r="AG29" s="132">
        <f t="shared" si="28"/>
        <v>0</v>
      </c>
      <c r="AH29" s="132">
        <f t="shared" si="28"/>
        <v>0</v>
      </c>
      <c r="AI29" s="132">
        <f t="shared" si="28"/>
        <v>0</v>
      </c>
      <c r="AJ29" s="274">
        <f t="shared" si="20"/>
        <v>230270508</v>
      </c>
      <c r="AK29" s="177">
        <v>0</v>
      </c>
      <c r="AL29" s="132">
        <v>122583800</v>
      </c>
      <c r="AM29" s="132">
        <v>18820500</v>
      </c>
      <c r="AN29" s="132">
        <v>7938000</v>
      </c>
      <c r="AO29" s="132">
        <v>1560880</v>
      </c>
      <c r="AP29" s="132">
        <v>1757760</v>
      </c>
      <c r="AQ29" s="133">
        <v>76665500</v>
      </c>
      <c r="AR29" s="132">
        <v>584640</v>
      </c>
      <c r="AS29" s="132">
        <v>283700</v>
      </c>
      <c r="AT29" s="132">
        <v>62640</v>
      </c>
      <c r="AU29" s="132">
        <v>0</v>
      </c>
      <c r="AV29" s="132">
        <v>0</v>
      </c>
      <c r="AW29" s="272">
        <f t="shared" si="22"/>
        <v>230257420</v>
      </c>
      <c r="AX29" s="302">
        <f t="shared" si="23"/>
        <v>0</v>
      </c>
      <c r="AY29" s="296">
        <f t="shared" si="24"/>
        <v>13088</v>
      </c>
    </row>
    <row r="30" spans="1:51" ht="25.5">
      <c r="A30" s="136" t="s">
        <v>177</v>
      </c>
      <c r="B30" s="130" t="s">
        <v>136</v>
      </c>
      <c r="C30" s="130" t="s">
        <v>184</v>
      </c>
      <c r="D30" s="130" t="s">
        <v>186</v>
      </c>
      <c r="E30" s="130" t="s">
        <v>137</v>
      </c>
      <c r="F30" s="130" t="s">
        <v>140</v>
      </c>
      <c r="G30" s="205" t="s">
        <v>187</v>
      </c>
      <c r="H30" s="177">
        <v>6240000</v>
      </c>
      <c r="I30" s="132">
        <v>0</v>
      </c>
      <c r="J30" s="272">
        <f t="shared" si="16"/>
        <v>6240000</v>
      </c>
      <c r="K30" s="177">
        <f>J30</f>
        <v>6240000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3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274">
        <f t="shared" si="18"/>
        <v>6240000</v>
      </c>
      <c r="X30" s="177">
        <f t="shared" si="28"/>
        <v>6240000</v>
      </c>
      <c r="Y30" s="132">
        <f t="shared" si="28"/>
        <v>0</v>
      </c>
      <c r="Z30" s="132">
        <f t="shared" si="28"/>
        <v>0</v>
      </c>
      <c r="AA30" s="132">
        <f t="shared" si="28"/>
        <v>0</v>
      </c>
      <c r="AB30" s="132">
        <f t="shared" si="28"/>
        <v>0</v>
      </c>
      <c r="AC30" s="132">
        <f t="shared" si="28"/>
        <v>0</v>
      </c>
      <c r="AD30" s="133">
        <f t="shared" si="28"/>
        <v>0</v>
      </c>
      <c r="AE30" s="132">
        <f t="shared" si="28"/>
        <v>0</v>
      </c>
      <c r="AF30" s="132">
        <f t="shared" si="28"/>
        <v>0</v>
      </c>
      <c r="AG30" s="132">
        <f t="shared" si="28"/>
        <v>0</v>
      </c>
      <c r="AH30" s="132">
        <f t="shared" si="28"/>
        <v>0</v>
      </c>
      <c r="AI30" s="132">
        <f t="shared" si="28"/>
        <v>0</v>
      </c>
      <c r="AJ30" s="274">
        <f t="shared" si="20"/>
        <v>6240000</v>
      </c>
      <c r="AK30" s="177">
        <v>0</v>
      </c>
      <c r="AL30" s="132">
        <v>6240000</v>
      </c>
      <c r="AM30" s="132">
        <v>0</v>
      </c>
      <c r="AN30" s="132">
        <v>0</v>
      </c>
      <c r="AO30" s="132">
        <v>0</v>
      </c>
      <c r="AP30" s="132">
        <v>0</v>
      </c>
      <c r="AQ30" s="133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272">
        <f t="shared" si="22"/>
        <v>6240000</v>
      </c>
      <c r="AX30" s="302">
        <f t="shared" si="23"/>
        <v>0</v>
      </c>
      <c r="AY30" s="296">
        <f t="shared" si="24"/>
        <v>0</v>
      </c>
    </row>
    <row r="31" spans="1:51" ht="25.5">
      <c r="A31" s="186" t="s">
        <v>177</v>
      </c>
      <c r="B31" s="187" t="s">
        <v>136</v>
      </c>
      <c r="C31" s="187" t="s">
        <v>253</v>
      </c>
      <c r="D31" s="187" t="s">
        <v>242</v>
      </c>
      <c r="E31" s="187" t="s">
        <v>242</v>
      </c>
      <c r="F31" s="187"/>
      <c r="G31" s="204" t="s">
        <v>254</v>
      </c>
      <c r="H31" s="190">
        <f>H32</f>
        <v>15408973</v>
      </c>
      <c r="I31" s="191">
        <f>SUM(I32:I32)</f>
        <v>0</v>
      </c>
      <c r="J31" s="192">
        <f t="shared" si="16"/>
        <v>15408973</v>
      </c>
      <c r="K31" s="190">
        <f aca="true" t="shared" si="29" ref="K31:V31">SUM(K32:K32)</f>
        <v>15408973</v>
      </c>
      <c r="L31" s="191">
        <f t="shared" si="29"/>
        <v>0</v>
      </c>
      <c r="M31" s="191">
        <f t="shared" si="29"/>
        <v>0</v>
      </c>
      <c r="N31" s="191">
        <f t="shared" si="29"/>
        <v>0</v>
      </c>
      <c r="O31" s="191">
        <f t="shared" si="29"/>
        <v>0</v>
      </c>
      <c r="P31" s="191">
        <f t="shared" si="29"/>
        <v>0</v>
      </c>
      <c r="Q31" s="193">
        <f t="shared" si="29"/>
        <v>0</v>
      </c>
      <c r="R31" s="191">
        <f t="shared" si="29"/>
        <v>0</v>
      </c>
      <c r="S31" s="191">
        <f t="shared" si="29"/>
        <v>0</v>
      </c>
      <c r="T31" s="191">
        <f t="shared" si="29"/>
        <v>0</v>
      </c>
      <c r="U31" s="191">
        <f t="shared" si="29"/>
        <v>0</v>
      </c>
      <c r="V31" s="191">
        <f t="shared" si="29"/>
        <v>0</v>
      </c>
      <c r="W31" s="192">
        <f t="shared" si="18"/>
        <v>15408973</v>
      </c>
      <c r="X31" s="190">
        <f aca="true" t="shared" si="30" ref="X31:AI31">SUM(X32:X32)</f>
        <v>15408973</v>
      </c>
      <c r="Y31" s="191">
        <f t="shared" si="30"/>
        <v>0</v>
      </c>
      <c r="Z31" s="191">
        <f t="shared" si="30"/>
        <v>0</v>
      </c>
      <c r="AA31" s="191">
        <f t="shared" si="30"/>
        <v>0</v>
      </c>
      <c r="AB31" s="191">
        <f t="shared" si="30"/>
        <v>0</v>
      </c>
      <c r="AC31" s="191">
        <f t="shared" si="30"/>
        <v>0</v>
      </c>
      <c r="AD31" s="193">
        <f t="shared" si="30"/>
        <v>0</v>
      </c>
      <c r="AE31" s="191">
        <f t="shared" si="30"/>
        <v>0</v>
      </c>
      <c r="AF31" s="191">
        <f t="shared" si="30"/>
        <v>0</v>
      </c>
      <c r="AG31" s="191">
        <f t="shared" si="30"/>
        <v>0</v>
      </c>
      <c r="AH31" s="191">
        <f t="shared" si="30"/>
        <v>0</v>
      </c>
      <c r="AI31" s="191">
        <f t="shared" si="30"/>
        <v>0</v>
      </c>
      <c r="AJ31" s="192">
        <f t="shared" si="20"/>
        <v>15408973</v>
      </c>
      <c r="AK31" s="190">
        <f aca="true" t="shared" si="31" ref="AK31:AV31">SUM(AK32:AK32)</f>
        <v>15408973</v>
      </c>
      <c r="AL31" s="191">
        <f t="shared" si="31"/>
        <v>0</v>
      </c>
      <c r="AM31" s="191">
        <f t="shared" si="31"/>
        <v>0</v>
      </c>
      <c r="AN31" s="191">
        <f t="shared" si="31"/>
        <v>0</v>
      </c>
      <c r="AO31" s="191">
        <f t="shared" si="31"/>
        <v>0</v>
      </c>
      <c r="AP31" s="191">
        <f t="shared" si="31"/>
        <v>0</v>
      </c>
      <c r="AQ31" s="193">
        <f t="shared" si="31"/>
        <v>0</v>
      </c>
      <c r="AR31" s="191">
        <f t="shared" si="31"/>
        <v>0</v>
      </c>
      <c r="AS31" s="191">
        <f t="shared" si="31"/>
        <v>0</v>
      </c>
      <c r="AT31" s="191">
        <f t="shared" si="31"/>
        <v>0</v>
      </c>
      <c r="AU31" s="191">
        <f t="shared" si="31"/>
        <v>0</v>
      </c>
      <c r="AV31" s="191">
        <f t="shared" si="31"/>
        <v>0</v>
      </c>
      <c r="AW31" s="192">
        <f t="shared" si="22"/>
        <v>15408973</v>
      </c>
      <c r="AX31" s="300">
        <f t="shared" si="23"/>
        <v>0</v>
      </c>
      <c r="AY31" s="293">
        <f t="shared" si="24"/>
        <v>0</v>
      </c>
    </row>
    <row r="32" spans="1:51" ht="19.5" customHeight="1">
      <c r="A32" s="136" t="s">
        <v>177</v>
      </c>
      <c r="B32" s="130" t="s">
        <v>136</v>
      </c>
      <c r="C32" s="130" t="s">
        <v>253</v>
      </c>
      <c r="D32" s="130" t="s">
        <v>182</v>
      </c>
      <c r="E32" s="130" t="s">
        <v>255</v>
      </c>
      <c r="F32" s="130" t="s">
        <v>140</v>
      </c>
      <c r="G32" s="205" t="s">
        <v>256</v>
      </c>
      <c r="H32" s="177">
        <v>15408973</v>
      </c>
      <c r="I32" s="132">
        <v>0</v>
      </c>
      <c r="J32" s="272">
        <f t="shared" si="16"/>
        <v>15408973</v>
      </c>
      <c r="K32" s="177">
        <f>J32</f>
        <v>15408973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3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274">
        <f t="shared" si="18"/>
        <v>15408973</v>
      </c>
      <c r="X32" s="177">
        <f aca="true" t="shared" si="32" ref="X32:AI32">K32</f>
        <v>15408973</v>
      </c>
      <c r="Y32" s="132">
        <f t="shared" si="32"/>
        <v>0</v>
      </c>
      <c r="Z32" s="132">
        <f t="shared" si="32"/>
        <v>0</v>
      </c>
      <c r="AA32" s="132">
        <f t="shared" si="32"/>
        <v>0</v>
      </c>
      <c r="AB32" s="132">
        <f t="shared" si="32"/>
        <v>0</v>
      </c>
      <c r="AC32" s="132">
        <f t="shared" si="32"/>
        <v>0</v>
      </c>
      <c r="AD32" s="133">
        <f t="shared" si="32"/>
        <v>0</v>
      </c>
      <c r="AE32" s="132">
        <f t="shared" si="32"/>
        <v>0</v>
      </c>
      <c r="AF32" s="132">
        <f t="shared" si="32"/>
        <v>0</v>
      </c>
      <c r="AG32" s="132">
        <f t="shared" si="32"/>
        <v>0</v>
      </c>
      <c r="AH32" s="132">
        <f t="shared" si="32"/>
        <v>0</v>
      </c>
      <c r="AI32" s="132">
        <f t="shared" si="32"/>
        <v>0</v>
      </c>
      <c r="AJ32" s="274">
        <f t="shared" si="20"/>
        <v>15408973</v>
      </c>
      <c r="AK32" s="177">
        <v>15408973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3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272">
        <f t="shared" si="22"/>
        <v>15408973</v>
      </c>
      <c r="AX32" s="302">
        <f t="shared" si="23"/>
        <v>0</v>
      </c>
      <c r="AY32" s="296">
        <f t="shared" si="24"/>
        <v>0</v>
      </c>
    </row>
    <row r="33" spans="1:51" ht="12.75">
      <c r="A33" s="186" t="s">
        <v>177</v>
      </c>
      <c r="B33" s="187" t="s">
        <v>136</v>
      </c>
      <c r="C33" s="187" t="s">
        <v>188</v>
      </c>
      <c r="D33" s="187" t="s">
        <v>242</v>
      </c>
      <c r="E33" s="187" t="s">
        <v>242</v>
      </c>
      <c r="F33" s="187"/>
      <c r="G33" s="204" t="s">
        <v>189</v>
      </c>
      <c r="H33" s="190">
        <f>SUM(H34:H35)</f>
        <v>5895734347</v>
      </c>
      <c r="I33" s="191">
        <f>SUM(I34:I35)</f>
        <v>0</v>
      </c>
      <c r="J33" s="192">
        <f t="shared" si="16"/>
        <v>5895734347</v>
      </c>
      <c r="K33" s="190">
        <f aca="true" t="shared" si="33" ref="K33:V33">SUM(K34:K35)</f>
        <v>5895734347</v>
      </c>
      <c r="L33" s="191">
        <f t="shared" si="33"/>
        <v>0</v>
      </c>
      <c r="M33" s="191">
        <f t="shared" si="33"/>
        <v>0</v>
      </c>
      <c r="N33" s="191">
        <f t="shared" si="33"/>
        <v>0</v>
      </c>
      <c r="O33" s="191">
        <f t="shared" si="33"/>
        <v>0</v>
      </c>
      <c r="P33" s="191">
        <f t="shared" si="33"/>
        <v>0</v>
      </c>
      <c r="Q33" s="193">
        <f t="shared" si="33"/>
        <v>0</v>
      </c>
      <c r="R33" s="191">
        <f t="shared" si="33"/>
        <v>0</v>
      </c>
      <c r="S33" s="191">
        <f t="shared" si="33"/>
        <v>0</v>
      </c>
      <c r="T33" s="191">
        <f t="shared" si="33"/>
        <v>0</v>
      </c>
      <c r="U33" s="191">
        <f t="shared" si="33"/>
        <v>0</v>
      </c>
      <c r="V33" s="191">
        <f t="shared" si="33"/>
        <v>0</v>
      </c>
      <c r="W33" s="192">
        <f t="shared" si="18"/>
        <v>5895734347</v>
      </c>
      <c r="X33" s="190">
        <f aca="true" t="shared" si="34" ref="X33:AI33">SUM(X34:X35)</f>
        <v>5895734347</v>
      </c>
      <c r="Y33" s="191">
        <f t="shared" si="34"/>
        <v>0</v>
      </c>
      <c r="Z33" s="191">
        <f t="shared" si="34"/>
        <v>0</v>
      </c>
      <c r="AA33" s="191">
        <f t="shared" si="34"/>
        <v>0</v>
      </c>
      <c r="AB33" s="191">
        <f t="shared" si="34"/>
        <v>0</v>
      </c>
      <c r="AC33" s="191">
        <f t="shared" si="34"/>
        <v>0</v>
      </c>
      <c r="AD33" s="193">
        <f t="shared" si="34"/>
        <v>0</v>
      </c>
      <c r="AE33" s="191">
        <f t="shared" si="34"/>
        <v>0</v>
      </c>
      <c r="AF33" s="191">
        <f t="shared" si="34"/>
        <v>0</v>
      </c>
      <c r="AG33" s="191">
        <f t="shared" si="34"/>
        <v>0</v>
      </c>
      <c r="AH33" s="191">
        <f t="shared" si="34"/>
        <v>0</v>
      </c>
      <c r="AI33" s="191">
        <f t="shared" si="34"/>
        <v>0</v>
      </c>
      <c r="AJ33" s="192">
        <f t="shared" si="20"/>
        <v>5895734347</v>
      </c>
      <c r="AK33" s="190">
        <f aca="true" t="shared" si="35" ref="AK33:AV33">SUM(AK34:AK35)</f>
        <v>2961326500</v>
      </c>
      <c r="AL33" s="191">
        <f t="shared" si="35"/>
        <v>1943158262</v>
      </c>
      <c r="AM33" s="191">
        <f t="shared" si="35"/>
        <v>290655160</v>
      </c>
      <c r="AN33" s="191">
        <f t="shared" si="35"/>
        <v>450776900</v>
      </c>
      <c r="AO33" s="191">
        <f t="shared" si="35"/>
        <v>154866674</v>
      </c>
      <c r="AP33" s="191">
        <f t="shared" si="35"/>
        <v>4675400</v>
      </c>
      <c r="AQ33" s="193">
        <f t="shared" si="35"/>
        <v>30921265</v>
      </c>
      <c r="AR33" s="191">
        <f t="shared" si="35"/>
        <v>0</v>
      </c>
      <c r="AS33" s="191">
        <f t="shared" si="35"/>
        <v>0</v>
      </c>
      <c r="AT33" s="191">
        <f t="shared" si="35"/>
        <v>51040781</v>
      </c>
      <c r="AU33" s="191">
        <f t="shared" si="35"/>
        <v>0</v>
      </c>
      <c r="AV33" s="191">
        <f t="shared" si="35"/>
        <v>125</v>
      </c>
      <c r="AW33" s="192">
        <f t="shared" si="22"/>
        <v>5887421067</v>
      </c>
      <c r="AX33" s="300">
        <f t="shared" si="23"/>
        <v>0</v>
      </c>
      <c r="AY33" s="293">
        <f t="shared" si="24"/>
        <v>8313280</v>
      </c>
    </row>
    <row r="34" spans="1:51" ht="25.5">
      <c r="A34" s="136" t="s">
        <v>177</v>
      </c>
      <c r="B34" s="130" t="s">
        <v>136</v>
      </c>
      <c r="C34" s="130" t="s">
        <v>188</v>
      </c>
      <c r="D34" s="130" t="s">
        <v>192</v>
      </c>
      <c r="E34" s="130" t="s">
        <v>193</v>
      </c>
      <c r="F34" s="130" t="s">
        <v>195</v>
      </c>
      <c r="G34" s="205" t="s">
        <v>194</v>
      </c>
      <c r="H34" s="177">
        <v>4142643017</v>
      </c>
      <c r="I34" s="132">
        <v>0</v>
      </c>
      <c r="J34" s="272">
        <f t="shared" si="16"/>
        <v>4142643017</v>
      </c>
      <c r="K34" s="177">
        <f>J34</f>
        <v>4142643017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3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274">
        <f t="shared" si="18"/>
        <v>4142643017</v>
      </c>
      <c r="X34" s="177">
        <f aca="true" t="shared" si="36" ref="X34:AI35">K34</f>
        <v>4142643017</v>
      </c>
      <c r="Y34" s="132">
        <f t="shared" si="36"/>
        <v>0</v>
      </c>
      <c r="Z34" s="132">
        <f t="shared" si="36"/>
        <v>0</v>
      </c>
      <c r="AA34" s="132">
        <f t="shared" si="36"/>
        <v>0</v>
      </c>
      <c r="AB34" s="132">
        <f t="shared" si="36"/>
        <v>0</v>
      </c>
      <c r="AC34" s="132">
        <f t="shared" si="36"/>
        <v>0</v>
      </c>
      <c r="AD34" s="133">
        <f t="shared" si="36"/>
        <v>0</v>
      </c>
      <c r="AE34" s="132">
        <f t="shared" si="36"/>
        <v>0</v>
      </c>
      <c r="AF34" s="132">
        <f t="shared" si="36"/>
        <v>0</v>
      </c>
      <c r="AG34" s="132">
        <f t="shared" si="36"/>
        <v>0</v>
      </c>
      <c r="AH34" s="132">
        <f t="shared" si="36"/>
        <v>0</v>
      </c>
      <c r="AI34" s="132">
        <f t="shared" si="36"/>
        <v>0</v>
      </c>
      <c r="AJ34" s="274">
        <f t="shared" si="20"/>
        <v>4142643017</v>
      </c>
      <c r="AK34" s="177">
        <f>2657709800+219084200</f>
        <v>2876794000</v>
      </c>
      <c r="AL34" s="132">
        <f>512873912+391434196+35877874</f>
        <v>940185982</v>
      </c>
      <c r="AM34" s="132">
        <f>33409458+24416300</f>
        <v>57825758</v>
      </c>
      <c r="AN34" s="132">
        <f>112087900</f>
        <v>112087900</v>
      </c>
      <c r="AO34" s="132">
        <f>51732+62379324</f>
        <v>62431056</v>
      </c>
      <c r="AP34" s="132">
        <f>4675400</f>
        <v>4675400</v>
      </c>
      <c r="AQ34" s="133">
        <f>30921265</f>
        <v>30921265</v>
      </c>
      <c r="AR34" s="132">
        <v>0</v>
      </c>
      <c r="AS34" s="132">
        <v>0</v>
      </c>
      <c r="AT34" s="132">
        <f>51040382+399</f>
        <v>51040781</v>
      </c>
      <c r="AU34" s="132">
        <v>0</v>
      </c>
      <c r="AV34" s="132">
        <v>0</v>
      </c>
      <c r="AW34" s="272">
        <f t="shared" si="22"/>
        <v>4135962142</v>
      </c>
      <c r="AX34" s="302">
        <f t="shared" si="23"/>
        <v>0</v>
      </c>
      <c r="AY34" s="296">
        <f t="shared" si="24"/>
        <v>6680875</v>
      </c>
    </row>
    <row r="35" spans="1:51" ht="26.25" thickBot="1">
      <c r="A35" s="137" t="s">
        <v>177</v>
      </c>
      <c r="B35" s="138" t="s">
        <v>136</v>
      </c>
      <c r="C35" s="138" t="s">
        <v>188</v>
      </c>
      <c r="D35" s="138" t="s">
        <v>192</v>
      </c>
      <c r="E35" s="138" t="s">
        <v>203</v>
      </c>
      <c r="F35" s="138" t="s">
        <v>140</v>
      </c>
      <c r="G35" s="206" t="s">
        <v>204</v>
      </c>
      <c r="H35" s="178">
        <v>1753091330</v>
      </c>
      <c r="I35" s="141">
        <v>0</v>
      </c>
      <c r="J35" s="273">
        <f t="shared" si="16"/>
        <v>1753091330</v>
      </c>
      <c r="K35" s="178">
        <f>J35</f>
        <v>1753091330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2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275">
        <f t="shared" si="18"/>
        <v>1753091330</v>
      </c>
      <c r="X35" s="178">
        <f t="shared" si="36"/>
        <v>1753091330</v>
      </c>
      <c r="Y35" s="141">
        <f t="shared" si="36"/>
        <v>0</v>
      </c>
      <c r="Z35" s="141">
        <f t="shared" si="36"/>
        <v>0</v>
      </c>
      <c r="AA35" s="141">
        <f t="shared" si="36"/>
        <v>0</v>
      </c>
      <c r="AB35" s="141">
        <f t="shared" si="36"/>
        <v>0</v>
      </c>
      <c r="AC35" s="141">
        <f t="shared" si="36"/>
        <v>0</v>
      </c>
      <c r="AD35" s="142">
        <f t="shared" si="36"/>
        <v>0</v>
      </c>
      <c r="AE35" s="141">
        <f t="shared" si="36"/>
        <v>0</v>
      </c>
      <c r="AF35" s="141">
        <f t="shared" si="36"/>
        <v>0</v>
      </c>
      <c r="AG35" s="141">
        <f t="shared" si="36"/>
        <v>0</v>
      </c>
      <c r="AH35" s="141">
        <f t="shared" si="36"/>
        <v>0</v>
      </c>
      <c r="AI35" s="141">
        <f t="shared" si="36"/>
        <v>0</v>
      </c>
      <c r="AJ35" s="275">
        <f t="shared" si="20"/>
        <v>1753091330</v>
      </c>
      <c r="AK35" s="178">
        <v>84532500</v>
      </c>
      <c r="AL35" s="141">
        <v>1002972280</v>
      </c>
      <c r="AM35" s="141">
        <v>232829402</v>
      </c>
      <c r="AN35" s="141">
        <v>338689000</v>
      </c>
      <c r="AO35" s="141">
        <v>92435618</v>
      </c>
      <c r="AP35" s="141">
        <v>0</v>
      </c>
      <c r="AQ35" s="142">
        <v>0</v>
      </c>
      <c r="AR35" s="141">
        <v>0</v>
      </c>
      <c r="AS35" s="141">
        <v>0</v>
      </c>
      <c r="AT35" s="141">
        <v>0</v>
      </c>
      <c r="AU35" s="141">
        <v>0</v>
      </c>
      <c r="AV35" s="141">
        <v>125</v>
      </c>
      <c r="AW35" s="273">
        <f t="shared" si="22"/>
        <v>1751458925</v>
      </c>
      <c r="AX35" s="304">
        <f t="shared" si="23"/>
        <v>0</v>
      </c>
      <c r="AY35" s="299">
        <f t="shared" si="24"/>
        <v>1632405</v>
      </c>
    </row>
    <row r="36" ht="13.5" thickBot="1"/>
    <row r="37" spans="1:51" ht="13.5" thickBot="1">
      <c r="A37" s="124" t="s">
        <v>198</v>
      </c>
      <c r="B37" s="125"/>
      <c r="C37" s="125"/>
      <c r="D37" s="125"/>
      <c r="E37" s="125"/>
      <c r="F37" s="125"/>
      <c r="G37" s="126"/>
      <c r="H37" s="127"/>
      <c r="I37" s="127"/>
      <c r="J37" s="127"/>
      <c r="K37" s="127"/>
      <c r="L37" s="127"/>
      <c r="M37" s="127"/>
      <c r="N37" s="127"/>
      <c r="O37" s="127"/>
      <c r="P37" s="127"/>
      <c r="Q37" s="128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8"/>
      <c r="AR37" s="127"/>
      <c r="AS37" s="127"/>
      <c r="AT37" s="127"/>
      <c r="AU37" s="127"/>
      <c r="AV37" s="127"/>
      <c r="AW37" s="127"/>
      <c r="AX37" s="127"/>
      <c r="AY37" s="129"/>
    </row>
    <row r="38" ht="13.5" thickBot="1"/>
    <row r="39" spans="1:51" ht="19.5" customHeight="1" thickBot="1">
      <c r="A39" s="179" t="s">
        <v>177</v>
      </c>
      <c r="B39" s="180"/>
      <c r="C39" s="180"/>
      <c r="D39" s="180"/>
      <c r="E39" s="180"/>
      <c r="F39" s="180"/>
      <c r="G39" s="203" t="s">
        <v>199</v>
      </c>
      <c r="H39" s="182">
        <f>H40+H44</f>
        <v>14895162720</v>
      </c>
      <c r="I39" s="183">
        <f aca="true" t="shared" si="37" ref="I39:AY39">I40+I44</f>
        <v>0</v>
      </c>
      <c r="J39" s="184">
        <f t="shared" si="37"/>
        <v>14895162720</v>
      </c>
      <c r="K39" s="183">
        <f t="shared" si="37"/>
        <v>14895162720</v>
      </c>
      <c r="L39" s="183">
        <f t="shared" si="37"/>
        <v>0</v>
      </c>
      <c r="M39" s="183">
        <f t="shared" si="37"/>
        <v>0</v>
      </c>
      <c r="N39" s="183">
        <f t="shared" si="37"/>
        <v>0</v>
      </c>
      <c r="O39" s="183">
        <f t="shared" si="37"/>
        <v>0</v>
      </c>
      <c r="P39" s="183">
        <f t="shared" si="37"/>
        <v>0</v>
      </c>
      <c r="Q39" s="185">
        <f t="shared" si="37"/>
        <v>0</v>
      </c>
      <c r="R39" s="183">
        <f t="shared" si="37"/>
        <v>0</v>
      </c>
      <c r="S39" s="183">
        <f t="shared" si="37"/>
        <v>0</v>
      </c>
      <c r="T39" s="183">
        <f t="shared" si="37"/>
        <v>0</v>
      </c>
      <c r="U39" s="183">
        <f t="shared" si="37"/>
        <v>0</v>
      </c>
      <c r="V39" s="183">
        <f t="shared" si="37"/>
        <v>0</v>
      </c>
      <c r="W39" s="183">
        <f t="shared" si="37"/>
        <v>14895162720</v>
      </c>
      <c r="X39" s="183">
        <f t="shared" si="37"/>
        <v>14895162720</v>
      </c>
      <c r="Y39" s="183">
        <f t="shared" si="37"/>
        <v>0</v>
      </c>
      <c r="Z39" s="183">
        <f t="shared" si="37"/>
        <v>0</v>
      </c>
      <c r="AA39" s="183">
        <f t="shared" si="37"/>
        <v>0</v>
      </c>
      <c r="AB39" s="183">
        <f t="shared" si="37"/>
        <v>0</v>
      </c>
      <c r="AC39" s="183">
        <f t="shared" si="37"/>
        <v>0</v>
      </c>
      <c r="AD39" s="185">
        <f t="shared" si="37"/>
        <v>0</v>
      </c>
      <c r="AE39" s="183">
        <f t="shared" si="37"/>
        <v>0</v>
      </c>
      <c r="AF39" s="183">
        <f t="shared" si="37"/>
        <v>0</v>
      </c>
      <c r="AG39" s="183">
        <f t="shared" si="37"/>
        <v>0</v>
      </c>
      <c r="AH39" s="183">
        <f t="shared" si="37"/>
        <v>0</v>
      </c>
      <c r="AI39" s="183">
        <f t="shared" si="37"/>
        <v>0</v>
      </c>
      <c r="AJ39" s="183">
        <f t="shared" si="37"/>
        <v>14895162720</v>
      </c>
      <c r="AK39" s="182">
        <f t="shared" si="37"/>
        <v>0</v>
      </c>
      <c r="AL39" s="183">
        <f t="shared" si="37"/>
        <v>644712983</v>
      </c>
      <c r="AM39" s="183">
        <f t="shared" si="37"/>
        <v>4599828148</v>
      </c>
      <c r="AN39" s="183">
        <f t="shared" si="37"/>
        <v>747567439</v>
      </c>
      <c r="AO39" s="183">
        <f t="shared" si="37"/>
        <v>1108638543</v>
      </c>
      <c r="AP39" s="183">
        <f t="shared" si="37"/>
        <v>0</v>
      </c>
      <c r="AQ39" s="185">
        <f t="shared" si="37"/>
        <v>37496000</v>
      </c>
      <c r="AR39" s="183">
        <f t="shared" si="37"/>
        <v>3164697410</v>
      </c>
      <c r="AS39" s="183">
        <f t="shared" si="37"/>
        <v>2000407928</v>
      </c>
      <c r="AT39" s="183">
        <f t="shared" si="37"/>
        <v>2508354893</v>
      </c>
      <c r="AU39" s="183">
        <f t="shared" si="37"/>
        <v>9545279</v>
      </c>
      <c r="AV39" s="183">
        <f t="shared" si="37"/>
        <v>10435000</v>
      </c>
      <c r="AW39" s="184">
        <f t="shared" si="37"/>
        <v>14831683623</v>
      </c>
      <c r="AX39" s="183">
        <f t="shared" si="37"/>
        <v>0</v>
      </c>
      <c r="AY39" s="184">
        <f t="shared" si="37"/>
        <v>63479097</v>
      </c>
    </row>
    <row r="40" spans="1:51" ht="25.5">
      <c r="A40" s="186" t="s">
        <v>177</v>
      </c>
      <c r="B40" s="187" t="s">
        <v>136</v>
      </c>
      <c r="C40" s="187" t="s">
        <v>184</v>
      </c>
      <c r="D40" s="187"/>
      <c r="E40" s="187"/>
      <c r="F40" s="187"/>
      <c r="G40" s="204" t="s">
        <v>185</v>
      </c>
      <c r="H40" s="190">
        <f>SUM(H41:H43)</f>
        <v>1194351589</v>
      </c>
      <c r="I40" s="191">
        <f aca="true" t="shared" si="38" ref="I40:AY40">SUM(I41:I43)</f>
        <v>0</v>
      </c>
      <c r="J40" s="192">
        <f t="shared" si="38"/>
        <v>1194351589</v>
      </c>
      <c r="K40" s="191">
        <f t="shared" si="38"/>
        <v>1194351589</v>
      </c>
      <c r="L40" s="191">
        <f t="shared" si="38"/>
        <v>0</v>
      </c>
      <c r="M40" s="191">
        <f t="shared" si="38"/>
        <v>0</v>
      </c>
      <c r="N40" s="191">
        <f t="shared" si="38"/>
        <v>0</v>
      </c>
      <c r="O40" s="191">
        <f t="shared" si="38"/>
        <v>0</v>
      </c>
      <c r="P40" s="191">
        <f t="shared" si="38"/>
        <v>0</v>
      </c>
      <c r="Q40" s="193">
        <f t="shared" si="38"/>
        <v>0</v>
      </c>
      <c r="R40" s="191">
        <f t="shared" si="38"/>
        <v>0</v>
      </c>
      <c r="S40" s="191">
        <f t="shared" si="38"/>
        <v>0</v>
      </c>
      <c r="T40" s="191">
        <f t="shared" si="38"/>
        <v>0</v>
      </c>
      <c r="U40" s="191">
        <f t="shared" si="38"/>
        <v>0</v>
      </c>
      <c r="V40" s="191">
        <f t="shared" si="38"/>
        <v>0</v>
      </c>
      <c r="W40" s="191">
        <f t="shared" si="38"/>
        <v>1194351589</v>
      </c>
      <c r="X40" s="191">
        <f t="shared" si="38"/>
        <v>1194351589</v>
      </c>
      <c r="Y40" s="191">
        <f t="shared" si="38"/>
        <v>0</v>
      </c>
      <c r="Z40" s="191">
        <f t="shared" si="38"/>
        <v>0</v>
      </c>
      <c r="AA40" s="191">
        <f t="shared" si="38"/>
        <v>0</v>
      </c>
      <c r="AB40" s="191">
        <f t="shared" si="38"/>
        <v>0</v>
      </c>
      <c r="AC40" s="191">
        <f t="shared" si="38"/>
        <v>0</v>
      </c>
      <c r="AD40" s="193">
        <f t="shared" si="38"/>
        <v>0</v>
      </c>
      <c r="AE40" s="191">
        <f t="shared" si="38"/>
        <v>0</v>
      </c>
      <c r="AF40" s="191">
        <f t="shared" si="38"/>
        <v>0</v>
      </c>
      <c r="AG40" s="191">
        <f t="shared" si="38"/>
        <v>0</v>
      </c>
      <c r="AH40" s="191">
        <f t="shared" si="38"/>
        <v>0</v>
      </c>
      <c r="AI40" s="191">
        <f t="shared" si="38"/>
        <v>0</v>
      </c>
      <c r="AJ40" s="191">
        <f t="shared" si="38"/>
        <v>1194351589</v>
      </c>
      <c r="AK40" s="190">
        <f t="shared" si="38"/>
        <v>0</v>
      </c>
      <c r="AL40" s="191">
        <f t="shared" si="38"/>
        <v>144712995</v>
      </c>
      <c r="AM40" s="191">
        <f t="shared" si="38"/>
        <v>103014848</v>
      </c>
      <c r="AN40" s="191">
        <f t="shared" si="38"/>
        <v>747567439</v>
      </c>
      <c r="AO40" s="191">
        <f t="shared" si="38"/>
        <v>45631550</v>
      </c>
      <c r="AP40" s="191">
        <f t="shared" si="38"/>
        <v>0</v>
      </c>
      <c r="AQ40" s="193">
        <f t="shared" si="38"/>
        <v>15385000</v>
      </c>
      <c r="AR40" s="191">
        <f t="shared" si="38"/>
        <v>53213819</v>
      </c>
      <c r="AS40" s="191">
        <f t="shared" si="38"/>
        <v>0</v>
      </c>
      <c r="AT40" s="191">
        <f t="shared" si="38"/>
        <v>1400000</v>
      </c>
      <c r="AU40" s="191">
        <f t="shared" si="38"/>
        <v>9511841</v>
      </c>
      <c r="AV40" s="191">
        <f t="shared" si="38"/>
        <v>10435000</v>
      </c>
      <c r="AW40" s="192">
        <f t="shared" si="38"/>
        <v>1130872492</v>
      </c>
      <c r="AX40" s="300">
        <f t="shared" si="38"/>
        <v>0</v>
      </c>
      <c r="AY40" s="293">
        <f t="shared" si="38"/>
        <v>63479097</v>
      </c>
    </row>
    <row r="41" spans="1:51" ht="25.5">
      <c r="A41" s="136" t="s">
        <v>177</v>
      </c>
      <c r="B41" s="130" t="s">
        <v>136</v>
      </c>
      <c r="C41" s="130" t="s">
        <v>184</v>
      </c>
      <c r="D41" s="130" t="s">
        <v>200</v>
      </c>
      <c r="E41" s="130" t="s">
        <v>137</v>
      </c>
      <c r="F41" s="130" t="s">
        <v>260</v>
      </c>
      <c r="G41" s="205" t="s">
        <v>202</v>
      </c>
      <c r="H41" s="177">
        <v>132393589</v>
      </c>
      <c r="I41" s="132">
        <v>0</v>
      </c>
      <c r="J41" s="272">
        <f>SUM(H41:I41)</f>
        <v>132393589</v>
      </c>
      <c r="K41" s="132">
        <f>J41</f>
        <v>132393589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3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276">
        <f aca="true" t="shared" si="39" ref="W41:W46">SUM(K41:V41)</f>
        <v>132393589</v>
      </c>
      <c r="X41" s="132">
        <f aca="true" t="shared" si="40" ref="X41:AG43">K41</f>
        <v>132393589</v>
      </c>
      <c r="Y41" s="132">
        <f t="shared" si="40"/>
        <v>0</v>
      </c>
      <c r="Z41" s="132">
        <f t="shared" si="40"/>
        <v>0</v>
      </c>
      <c r="AA41" s="132">
        <f t="shared" si="40"/>
        <v>0</v>
      </c>
      <c r="AB41" s="132">
        <f t="shared" si="40"/>
        <v>0</v>
      </c>
      <c r="AC41" s="132">
        <f t="shared" si="40"/>
        <v>0</v>
      </c>
      <c r="AD41" s="133">
        <f t="shared" si="40"/>
        <v>0</v>
      </c>
      <c r="AE41" s="132">
        <f t="shared" si="40"/>
        <v>0</v>
      </c>
      <c r="AF41" s="132">
        <f t="shared" si="40"/>
        <v>0</v>
      </c>
      <c r="AG41" s="132">
        <f t="shared" si="40"/>
        <v>0</v>
      </c>
      <c r="AH41" s="132">
        <f aca="true" t="shared" si="41" ref="AH41:AI43">U41</f>
        <v>0</v>
      </c>
      <c r="AI41" s="132">
        <f t="shared" si="41"/>
        <v>0</v>
      </c>
      <c r="AJ41" s="276">
        <f aca="true" t="shared" si="42" ref="AJ41:AJ46">SUM(X41:AI41)</f>
        <v>132393589</v>
      </c>
      <c r="AK41" s="177">
        <v>0</v>
      </c>
      <c r="AL41" s="132">
        <v>0</v>
      </c>
      <c r="AM41" s="132">
        <v>0</v>
      </c>
      <c r="AN41" s="132">
        <v>132393589</v>
      </c>
      <c r="AO41" s="132">
        <v>0</v>
      </c>
      <c r="AP41" s="132">
        <v>0</v>
      </c>
      <c r="AQ41" s="133">
        <v>0</v>
      </c>
      <c r="AR41" s="132">
        <v>0</v>
      </c>
      <c r="AS41" s="132">
        <v>0</v>
      </c>
      <c r="AT41" s="132">
        <v>0</v>
      </c>
      <c r="AU41" s="132">
        <v>0</v>
      </c>
      <c r="AV41" s="132">
        <v>0</v>
      </c>
      <c r="AW41" s="272">
        <f aca="true" t="shared" si="43" ref="AW41:AW46">SUM(AK41:AV41)</f>
        <v>132393589</v>
      </c>
      <c r="AX41" s="302">
        <f aca="true" t="shared" si="44" ref="AX41:AX46">J41-W41</f>
        <v>0</v>
      </c>
      <c r="AY41" s="296">
        <f>AJ41-AW41</f>
        <v>0</v>
      </c>
    </row>
    <row r="42" spans="1:51" ht="25.5">
      <c r="A42" s="136" t="s">
        <v>177</v>
      </c>
      <c r="B42" s="130" t="s">
        <v>136</v>
      </c>
      <c r="C42" s="130" t="s">
        <v>184</v>
      </c>
      <c r="D42" s="130" t="s">
        <v>192</v>
      </c>
      <c r="E42" s="130" t="s">
        <v>144</v>
      </c>
      <c r="F42" s="130" t="s">
        <v>260</v>
      </c>
      <c r="G42" s="205" t="s">
        <v>208</v>
      </c>
      <c r="H42" s="177">
        <v>265785000</v>
      </c>
      <c r="I42" s="132">
        <v>0</v>
      </c>
      <c r="J42" s="272">
        <f>SUM(H42:I42)</f>
        <v>265785000</v>
      </c>
      <c r="K42" s="132">
        <f>J42</f>
        <v>265785000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3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276">
        <f t="shared" si="39"/>
        <v>265785000</v>
      </c>
      <c r="X42" s="132">
        <f t="shared" si="40"/>
        <v>265785000</v>
      </c>
      <c r="Y42" s="132">
        <f t="shared" si="40"/>
        <v>0</v>
      </c>
      <c r="Z42" s="132">
        <f t="shared" si="40"/>
        <v>0</v>
      </c>
      <c r="AA42" s="132">
        <f t="shared" si="40"/>
        <v>0</v>
      </c>
      <c r="AB42" s="132">
        <f t="shared" si="40"/>
        <v>0</v>
      </c>
      <c r="AC42" s="132">
        <f t="shared" si="40"/>
        <v>0</v>
      </c>
      <c r="AD42" s="133">
        <f t="shared" si="40"/>
        <v>0</v>
      </c>
      <c r="AE42" s="132">
        <f t="shared" si="40"/>
        <v>0</v>
      </c>
      <c r="AF42" s="132">
        <f t="shared" si="40"/>
        <v>0</v>
      </c>
      <c r="AG42" s="132">
        <f t="shared" si="40"/>
        <v>0</v>
      </c>
      <c r="AH42" s="132">
        <f t="shared" si="41"/>
        <v>0</v>
      </c>
      <c r="AI42" s="132">
        <f t="shared" si="41"/>
        <v>0</v>
      </c>
      <c r="AJ42" s="276">
        <f t="shared" si="42"/>
        <v>265785000</v>
      </c>
      <c r="AK42" s="177">
        <v>0</v>
      </c>
      <c r="AL42" s="132">
        <v>0</v>
      </c>
      <c r="AM42" s="132">
        <v>0</v>
      </c>
      <c r="AN42" s="132">
        <v>171820000</v>
      </c>
      <c r="AO42" s="132">
        <v>5670000</v>
      </c>
      <c r="AP42" s="132">
        <v>0</v>
      </c>
      <c r="AQ42" s="133">
        <v>15385000</v>
      </c>
      <c r="AR42" s="132">
        <v>0</v>
      </c>
      <c r="AS42" s="132">
        <v>0</v>
      </c>
      <c r="AT42" s="132">
        <v>0</v>
      </c>
      <c r="AU42" s="132">
        <v>0</v>
      </c>
      <c r="AV42" s="132">
        <v>10435000</v>
      </c>
      <c r="AW42" s="272">
        <f t="shared" si="43"/>
        <v>203310000</v>
      </c>
      <c r="AX42" s="302">
        <f t="shared" si="44"/>
        <v>0</v>
      </c>
      <c r="AY42" s="296">
        <f>AJ42-AW42</f>
        <v>62475000</v>
      </c>
    </row>
    <row r="43" spans="1:51" ht="25.5">
      <c r="A43" s="136" t="s">
        <v>177</v>
      </c>
      <c r="B43" s="130" t="s">
        <v>136</v>
      </c>
      <c r="C43" s="130" t="s">
        <v>184</v>
      </c>
      <c r="D43" s="130" t="s">
        <v>192</v>
      </c>
      <c r="E43" s="130" t="s">
        <v>261</v>
      </c>
      <c r="F43" s="130" t="s">
        <v>260</v>
      </c>
      <c r="G43" s="205" t="s">
        <v>210</v>
      </c>
      <c r="H43" s="177">
        <v>796173000</v>
      </c>
      <c r="I43" s="132">
        <v>0</v>
      </c>
      <c r="J43" s="272">
        <f>SUM(H43:I43)</f>
        <v>796173000</v>
      </c>
      <c r="K43" s="132">
        <f>J43</f>
        <v>796173000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3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276">
        <f t="shared" si="39"/>
        <v>796173000</v>
      </c>
      <c r="X43" s="132">
        <f t="shared" si="40"/>
        <v>796173000</v>
      </c>
      <c r="Y43" s="132">
        <f t="shared" si="40"/>
        <v>0</v>
      </c>
      <c r="Z43" s="132">
        <f t="shared" si="40"/>
        <v>0</v>
      </c>
      <c r="AA43" s="132">
        <f t="shared" si="40"/>
        <v>0</v>
      </c>
      <c r="AB43" s="132">
        <f t="shared" si="40"/>
        <v>0</v>
      </c>
      <c r="AC43" s="132">
        <f t="shared" si="40"/>
        <v>0</v>
      </c>
      <c r="AD43" s="133">
        <f t="shared" si="40"/>
        <v>0</v>
      </c>
      <c r="AE43" s="132">
        <f t="shared" si="40"/>
        <v>0</v>
      </c>
      <c r="AF43" s="132">
        <f t="shared" si="40"/>
        <v>0</v>
      </c>
      <c r="AG43" s="132">
        <f t="shared" si="40"/>
        <v>0</v>
      </c>
      <c r="AH43" s="132">
        <f t="shared" si="41"/>
        <v>0</v>
      </c>
      <c r="AI43" s="132">
        <f t="shared" si="41"/>
        <v>0</v>
      </c>
      <c r="AJ43" s="276">
        <f t="shared" si="42"/>
        <v>796173000</v>
      </c>
      <c r="AK43" s="177">
        <v>0</v>
      </c>
      <c r="AL43" s="132">
        <v>144712995</v>
      </c>
      <c r="AM43" s="132">
        <v>103014848</v>
      </c>
      <c r="AN43" s="132">
        <v>443353850</v>
      </c>
      <c r="AO43" s="132">
        <v>39961550</v>
      </c>
      <c r="AP43" s="132">
        <v>0</v>
      </c>
      <c r="AQ43" s="133">
        <v>0</v>
      </c>
      <c r="AR43" s="132">
        <v>53213819</v>
      </c>
      <c r="AS43" s="132">
        <v>0</v>
      </c>
      <c r="AT43" s="132">
        <v>1400000</v>
      </c>
      <c r="AU43" s="132">
        <v>9511841</v>
      </c>
      <c r="AV43" s="132">
        <v>0</v>
      </c>
      <c r="AW43" s="272">
        <f t="shared" si="43"/>
        <v>795168903</v>
      </c>
      <c r="AX43" s="302">
        <f t="shared" si="44"/>
        <v>0</v>
      </c>
      <c r="AY43" s="296">
        <f>AJ43-AW43</f>
        <v>1004097</v>
      </c>
    </row>
    <row r="44" spans="1:51" ht="19.5" customHeight="1">
      <c r="A44" s="186" t="s">
        <v>177</v>
      </c>
      <c r="B44" s="187" t="s">
        <v>136</v>
      </c>
      <c r="C44" s="187" t="s">
        <v>188</v>
      </c>
      <c r="D44" s="187" t="s">
        <v>242</v>
      </c>
      <c r="E44" s="187" t="s">
        <v>242</v>
      </c>
      <c r="F44" s="187"/>
      <c r="G44" s="204" t="s">
        <v>189</v>
      </c>
      <c r="H44" s="190">
        <f>SUM(H45:H46)</f>
        <v>13700811131</v>
      </c>
      <c r="I44" s="191">
        <f aca="true" t="shared" si="45" ref="I44:AY44">SUM(I45:I46)</f>
        <v>0</v>
      </c>
      <c r="J44" s="192">
        <f t="shared" si="45"/>
        <v>13700811131</v>
      </c>
      <c r="K44" s="191">
        <f t="shared" si="45"/>
        <v>13700811131</v>
      </c>
      <c r="L44" s="191">
        <f t="shared" si="45"/>
        <v>0</v>
      </c>
      <c r="M44" s="191">
        <f t="shared" si="45"/>
        <v>0</v>
      </c>
      <c r="N44" s="191">
        <f t="shared" si="45"/>
        <v>0</v>
      </c>
      <c r="O44" s="191">
        <f t="shared" si="45"/>
        <v>0</v>
      </c>
      <c r="P44" s="191">
        <f t="shared" si="45"/>
        <v>0</v>
      </c>
      <c r="Q44" s="193">
        <f t="shared" si="45"/>
        <v>0</v>
      </c>
      <c r="R44" s="191">
        <f t="shared" si="45"/>
        <v>0</v>
      </c>
      <c r="S44" s="191">
        <f t="shared" si="45"/>
        <v>0</v>
      </c>
      <c r="T44" s="191">
        <f t="shared" si="45"/>
        <v>0</v>
      </c>
      <c r="U44" s="191">
        <f t="shared" si="45"/>
        <v>0</v>
      </c>
      <c r="V44" s="191">
        <f t="shared" si="45"/>
        <v>0</v>
      </c>
      <c r="W44" s="191">
        <f t="shared" si="45"/>
        <v>13700811131</v>
      </c>
      <c r="X44" s="191">
        <f t="shared" si="45"/>
        <v>13700811131</v>
      </c>
      <c r="Y44" s="191">
        <f t="shared" si="45"/>
        <v>0</v>
      </c>
      <c r="Z44" s="191">
        <f t="shared" si="45"/>
        <v>0</v>
      </c>
      <c r="AA44" s="191">
        <f t="shared" si="45"/>
        <v>0</v>
      </c>
      <c r="AB44" s="191">
        <f t="shared" si="45"/>
        <v>0</v>
      </c>
      <c r="AC44" s="191">
        <f t="shared" si="45"/>
        <v>0</v>
      </c>
      <c r="AD44" s="193">
        <f t="shared" si="45"/>
        <v>0</v>
      </c>
      <c r="AE44" s="191">
        <f t="shared" si="45"/>
        <v>0</v>
      </c>
      <c r="AF44" s="191">
        <f t="shared" si="45"/>
        <v>0</v>
      </c>
      <c r="AG44" s="191">
        <f t="shared" si="45"/>
        <v>0</v>
      </c>
      <c r="AH44" s="191">
        <f t="shared" si="45"/>
        <v>0</v>
      </c>
      <c r="AI44" s="191">
        <f t="shared" si="45"/>
        <v>0</v>
      </c>
      <c r="AJ44" s="191">
        <f t="shared" si="45"/>
        <v>13700811131</v>
      </c>
      <c r="AK44" s="190">
        <f t="shared" si="45"/>
        <v>0</v>
      </c>
      <c r="AL44" s="191">
        <f t="shared" si="45"/>
        <v>499999988</v>
      </c>
      <c r="AM44" s="191">
        <f t="shared" si="45"/>
        <v>4496813300</v>
      </c>
      <c r="AN44" s="191">
        <f t="shared" si="45"/>
        <v>0</v>
      </c>
      <c r="AO44" s="191">
        <f t="shared" si="45"/>
        <v>1063006993</v>
      </c>
      <c r="AP44" s="191">
        <f t="shared" si="45"/>
        <v>0</v>
      </c>
      <c r="AQ44" s="193">
        <f t="shared" si="45"/>
        <v>22111000</v>
      </c>
      <c r="AR44" s="191">
        <f t="shared" si="45"/>
        <v>3111483591</v>
      </c>
      <c r="AS44" s="191">
        <f t="shared" si="45"/>
        <v>2000407928</v>
      </c>
      <c r="AT44" s="191">
        <f t="shared" si="45"/>
        <v>2506954893</v>
      </c>
      <c r="AU44" s="191">
        <f t="shared" si="45"/>
        <v>33438</v>
      </c>
      <c r="AV44" s="191">
        <f t="shared" si="45"/>
        <v>0</v>
      </c>
      <c r="AW44" s="192">
        <f t="shared" si="45"/>
        <v>13700811131</v>
      </c>
      <c r="AX44" s="300">
        <f t="shared" si="45"/>
        <v>0</v>
      </c>
      <c r="AY44" s="293">
        <f t="shared" si="45"/>
        <v>0</v>
      </c>
    </row>
    <row r="45" spans="1:51" ht="25.5">
      <c r="A45" s="136" t="s">
        <v>177</v>
      </c>
      <c r="B45" s="130" t="s">
        <v>136</v>
      </c>
      <c r="C45" s="130" t="s">
        <v>188</v>
      </c>
      <c r="D45" s="130" t="s">
        <v>192</v>
      </c>
      <c r="E45" s="130" t="s">
        <v>193</v>
      </c>
      <c r="F45" s="130" t="s">
        <v>260</v>
      </c>
      <c r="G45" s="205" t="s">
        <v>194</v>
      </c>
      <c r="H45" s="177">
        <v>8700811131</v>
      </c>
      <c r="I45" s="132">
        <v>0</v>
      </c>
      <c r="J45" s="272">
        <f>SUM(H45:I45)</f>
        <v>8700811131</v>
      </c>
      <c r="K45" s="132">
        <f>J45</f>
        <v>8700811131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3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276">
        <f t="shared" si="39"/>
        <v>8700811131</v>
      </c>
      <c r="X45" s="132">
        <f aca="true" t="shared" si="46" ref="X45:AI46">K45</f>
        <v>8700811131</v>
      </c>
      <c r="Y45" s="132">
        <f t="shared" si="46"/>
        <v>0</v>
      </c>
      <c r="Z45" s="132">
        <f t="shared" si="46"/>
        <v>0</v>
      </c>
      <c r="AA45" s="132">
        <f t="shared" si="46"/>
        <v>0</v>
      </c>
      <c r="AB45" s="132">
        <f t="shared" si="46"/>
        <v>0</v>
      </c>
      <c r="AC45" s="132">
        <f t="shared" si="46"/>
        <v>0</v>
      </c>
      <c r="AD45" s="133">
        <f t="shared" si="46"/>
        <v>0</v>
      </c>
      <c r="AE45" s="132">
        <f t="shared" si="46"/>
        <v>0</v>
      </c>
      <c r="AF45" s="132">
        <f t="shared" si="46"/>
        <v>0</v>
      </c>
      <c r="AG45" s="132">
        <f t="shared" si="46"/>
        <v>0</v>
      </c>
      <c r="AH45" s="132">
        <f t="shared" si="46"/>
        <v>0</v>
      </c>
      <c r="AI45" s="132">
        <f t="shared" si="46"/>
        <v>0</v>
      </c>
      <c r="AJ45" s="276">
        <f t="shared" si="42"/>
        <v>8700811131</v>
      </c>
      <c r="AK45" s="177">
        <v>0</v>
      </c>
      <c r="AL45" s="132">
        <f>499999988</f>
        <v>499999988</v>
      </c>
      <c r="AM45" s="132">
        <f>1996813300</f>
        <v>1996813300</v>
      </c>
      <c r="AN45" s="132"/>
      <c r="AO45" s="132">
        <f>1063006993</f>
        <v>1063006993</v>
      </c>
      <c r="AP45" s="132">
        <v>0</v>
      </c>
      <c r="AQ45" s="133">
        <v>22111000</v>
      </c>
      <c r="AR45" s="132">
        <v>3111483591</v>
      </c>
      <c r="AS45" s="132">
        <f>2000407928</f>
        <v>2000407928</v>
      </c>
      <c r="AT45" s="132">
        <v>6954893</v>
      </c>
      <c r="AU45" s="132">
        <v>33438</v>
      </c>
      <c r="AV45" s="132">
        <v>0</v>
      </c>
      <c r="AW45" s="272">
        <f t="shared" si="43"/>
        <v>8700811131</v>
      </c>
      <c r="AX45" s="302">
        <f t="shared" si="44"/>
        <v>0</v>
      </c>
      <c r="AY45" s="296">
        <f>AJ45-AW45</f>
        <v>0</v>
      </c>
    </row>
    <row r="46" spans="1:51" ht="26.25" thickBot="1">
      <c r="A46" s="137" t="s">
        <v>177</v>
      </c>
      <c r="B46" s="138" t="s">
        <v>136</v>
      </c>
      <c r="C46" s="138" t="s">
        <v>188</v>
      </c>
      <c r="D46" s="138" t="s">
        <v>192</v>
      </c>
      <c r="E46" s="138" t="s">
        <v>205</v>
      </c>
      <c r="F46" s="138" t="s">
        <v>260</v>
      </c>
      <c r="G46" s="206" t="s">
        <v>262</v>
      </c>
      <c r="H46" s="178">
        <v>5000000000</v>
      </c>
      <c r="I46" s="141">
        <v>0</v>
      </c>
      <c r="J46" s="273">
        <f>SUM(H46:I46)</f>
        <v>5000000000</v>
      </c>
      <c r="K46" s="141">
        <f>J46</f>
        <v>5000000000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2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277">
        <f t="shared" si="39"/>
        <v>5000000000</v>
      </c>
      <c r="X46" s="141">
        <f t="shared" si="46"/>
        <v>5000000000</v>
      </c>
      <c r="Y46" s="141">
        <f t="shared" si="46"/>
        <v>0</v>
      </c>
      <c r="Z46" s="141">
        <f t="shared" si="46"/>
        <v>0</v>
      </c>
      <c r="AA46" s="141">
        <f t="shared" si="46"/>
        <v>0</v>
      </c>
      <c r="AB46" s="141">
        <f t="shared" si="46"/>
        <v>0</v>
      </c>
      <c r="AC46" s="141">
        <f t="shared" si="46"/>
        <v>0</v>
      </c>
      <c r="AD46" s="142">
        <f t="shared" si="46"/>
        <v>0</v>
      </c>
      <c r="AE46" s="141">
        <f t="shared" si="46"/>
        <v>0</v>
      </c>
      <c r="AF46" s="141">
        <f t="shared" si="46"/>
        <v>0</v>
      </c>
      <c r="AG46" s="141">
        <f t="shared" si="46"/>
        <v>0</v>
      </c>
      <c r="AH46" s="141">
        <f t="shared" si="46"/>
        <v>0</v>
      </c>
      <c r="AI46" s="141">
        <f t="shared" si="46"/>
        <v>0</v>
      </c>
      <c r="AJ46" s="277">
        <f t="shared" si="42"/>
        <v>5000000000</v>
      </c>
      <c r="AK46" s="178">
        <v>0</v>
      </c>
      <c r="AL46" s="141">
        <v>0</v>
      </c>
      <c r="AM46" s="141">
        <v>2500000000</v>
      </c>
      <c r="AN46" s="141">
        <v>0</v>
      </c>
      <c r="AO46" s="141">
        <v>0</v>
      </c>
      <c r="AP46" s="141">
        <v>0</v>
      </c>
      <c r="AQ46" s="142">
        <v>0</v>
      </c>
      <c r="AR46" s="141">
        <v>0</v>
      </c>
      <c r="AS46" s="141">
        <v>0</v>
      </c>
      <c r="AT46" s="141">
        <v>2500000000</v>
      </c>
      <c r="AU46" s="141">
        <v>0</v>
      </c>
      <c r="AV46" s="141">
        <v>0</v>
      </c>
      <c r="AW46" s="273">
        <f t="shared" si="43"/>
        <v>5000000000</v>
      </c>
      <c r="AX46" s="304">
        <f t="shared" si="44"/>
        <v>0</v>
      </c>
      <c r="AY46" s="299">
        <f>AJ46-AW46</f>
        <v>0</v>
      </c>
    </row>
    <row r="48" spans="1:51" ht="12.75">
      <c r="A48" s="100" t="s">
        <v>211</v>
      </c>
      <c r="B48" s="100"/>
      <c r="C48" s="100"/>
      <c r="D48" s="100"/>
      <c r="E48" s="100"/>
      <c r="F48" s="100"/>
      <c r="G48" s="105"/>
      <c r="H48" s="99"/>
      <c r="I48" s="99"/>
      <c r="J48" s="99"/>
      <c r="K48" s="99"/>
      <c r="L48" s="99"/>
      <c r="M48" s="99"/>
      <c r="N48" s="99"/>
      <c r="O48" s="99"/>
      <c r="P48" s="99"/>
      <c r="Q48" s="106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6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106"/>
      <c r="AR48" s="99"/>
      <c r="AS48" s="99"/>
      <c r="AT48" s="99"/>
      <c r="AU48" s="99"/>
      <c r="AV48" s="99"/>
      <c r="AW48" s="99"/>
      <c r="AX48" s="99"/>
      <c r="AY48" s="99"/>
    </row>
    <row r="49" ht="13.5" thickBot="1"/>
    <row r="50" spans="1:51" ht="19.5" customHeight="1">
      <c r="A50" s="37"/>
      <c r="B50" s="37"/>
      <c r="C50" s="37"/>
      <c r="D50" s="37"/>
      <c r="E50" s="37"/>
      <c r="F50" s="37"/>
      <c r="G50" s="207" t="s">
        <v>212</v>
      </c>
      <c r="H50" s="227">
        <f aca="true" t="shared" si="47" ref="H50:AY50">H10+H27</f>
        <v>6436125292</v>
      </c>
      <c r="I50" s="208">
        <f t="shared" si="47"/>
        <v>0</v>
      </c>
      <c r="J50" s="210">
        <f t="shared" si="47"/>
        <v>6436125292</v>
      </c>
      <c r="K50" s="227">
        <f t="shared" si="47"/>
        <v>6436125292</v>
      </c>
      <c r="L50" s="208">
        <f t="shared" si="47"/>
        <v>0</v>
      </c>
      <c r="M50" s="208">
        <f t="shared" si="47"/>
        <v>0</v>
      </c>
      <c r="N50" s="208">
        <f t="shared" si="47"/>
        <v>0</v>
      </c>
      <c r="O50" s="208">
        <f t="shared" si="47"/>
        <v>0</v>
      </c>
      <c r="P50" s="208">
        <f t="shared" si="47"/>
        <v>0</v>
      </c>
      <c r="Q50" s="209">
        <f t="shared" si="47"/>
        <v>0</v>
      </c>
      <c r="R50" s="208">
        <f t="shared" si="47"/>
        <v>0</v>
      </c>
      <c r="S50" s="208">
        <f t="shared" si="47"/>
        <v>0</v>
      </c>
      <c r="T50" s="208">
        <f t="shared" si="47"/>
        <v>0</v>
      </c>
      <c r="U50" s="208">
        <f t="shared" si="47"/>
        <v>0</v>
      </c>
      <c r="V50" s="208">
        <f t="shared" si="47"/>
        <v>-253520</v>
      </c>
      <c r="W50" s="210">
        <f t="shared" si="47"/>
        <v>6435871772</v>
      </c>
      <c r="X50" s="227">
        <f t="shared" si="47"/>
        <v>6436125292</v>
      </c>
      <c r="Y50" s="208">
        <f t="shared" si="47"/>
        <v>0</v>
      </c>
      <c r="Z50" s="208">
        <f t="shared" si="47"/>
        <v>0</v>
      </c>
      <c r="AA50" s="208">
        <f t="shared" si="47"/>
        <v>0</v>
      </c>
      <c r="AB50" s="208">
        <f t="shared" si="47"/>
        <v>0</v>
      </c>
      <c r="AC50" s="208">
        <f t="shared" si="47"/>
        <v>0</v>
      </c>
      <c r="AD50" s="209">
        <f t="shared" si="47"/>
        <v>0</v>
      </c>
      <c r="AE50" s="208">
        <f t="shared" si="47"/>
        <v>0</v>
      </c>
      <c r="AF50" s="208">
        <f t="shared" si="47"/>
        <v>0</v>
      </c>
      <c r="AG50" s="208">
        <f t="shared" si="47"/>
        <v>0</v>
      </c>
      <c r="AH50" s="208">
        <f t="shared" si="47"/>
        <v>0</v>
      </c>
      <c r="AI50" s="208">
        <f t="shared" si="47"/>
        <v>-253520</v>
      </c>
      <c r="AJ50" s="210">
        <f t="shared" si="47"/>
        <v>6435871772</v>
      </c>
      <c r="AK50" s="208">
        <f t="shared" si="47"/>
        <v>3034120452</v>
      </c>
      <c r="AL50" s="208">
        <f t="shared" si="47"/>
        <v>2131179672</v>
      </c>
      <c r="AM50" s="208">
        <f t="shared" si="47"/>
        <v>329724896</v>
      </c>
      <c r="AN50" s="208">
        <f t="shared" si="47"/>
        <v>482967489</v>
      </c>
      <c r="AO50" s="208">
        <f t="shared" si="47"/>
        <v>170496765</v>
      </c>
      <c r="AP50" s="208">
        <f t="shared" si="47"/>
        <v>13829786</v>
      </c>
      <c r="AQ50" s="209">
        <f t="shared" si="47"/>
        <v>115125548</v>
      </c>
      <c r="AR50" s="208">
        <f t="shared" si="47"/>
        <v>8966799</v>
      </c>
      <c r="AS50" s="208">
        <f t="shared" si="47"/>
        <v>490282</v>
      </c>
      <c r="AT50" s="208">
        <f t="shared" si="47"/>
        <v>54756609</v>
      </c>
      <c r="AU50" s="208">
        <f t="shared" si="47"/>
        <v>58129</v>
      </c>
      <c r="AV50" s="208">
        <f t="shared" si="47"/>
        <v>36241</v>
      </c>
      <c r="AW50" s="208">
        <f t="shared" si="47"/>
        <v>6341752668</v>
      </c>
      <c r="AX50" s="227">
        <f t="shared" si="47"/>
        <v>253520</v>
      </c>
      <c r="AY50" s="210">
        <f t="shared" si="47"/>
        <v>94119104</v>
      </c>
    </row>
    <row r="51" spans="1:51" ht="19.5" customHeight="1" thickBot="1">
      <c r="A51" s="37"/>
      <c r="B51" s="37"/>
      <c r="C51" s="37"/>
      <c r="D51" s="37"/>
      <c r="E51" s="37"/>
      <c r="F51" s="37"/>
      <c r="G51" s="211" t="s">
        <v>213</v>
      </c>
      <c r="H51" s="228">
        <f aca="true" t="shared" si="48" ref="H51:AB51">H39</f>
        <v>14895162720</v>
      </c>
      <c r="I51" s="212">
        <f t="shared" si="48"/>
        <v>0</v>
      </c>
      <c r="J51" s="214">
        <f t="shared" si="48"/>
        <v>14895162720</v>
      </c>
      <c r="K51" s="228">
        <f t="shared" si="48"/>
        <v>14895162720</v>
      </c>
      <c r="L51" s="212">
        <f t="shared" si="48"/>
        <v>0</v>
      </c>
      <c r="M51" s="212">
        <f t="shared" si="48"/>
        <v>0</v>
      </c>
      <c r="N51" s="212">
        <f t="shared" si="48"/>
        <v>0</v>
      </c>
      <c r="O51" s="212">
        <f t="shared" si="48"/>
        <v>0</v>
      </c>
      <c r="P51" s="212">
        <f t="shared" si="48"/>
        <v>0</v>
      </c>
      <c r="Q51" s="213">
        <f t="shared" si="48"/>
        <v>0</v>
      </c>
      <c r="R51" s="212">
        <f t="shared" si="48"/>
        <v>0</v>
      </c>
      <c r="S51" s="212">
        <f t="shared" si="48"/>
        <v>0</v>
      </c>
      <c r="T51" s="212">
        <f t="shared" si="48"/>
        <v>0</v>
      </c>
      <c r="U51" s="212">
        <f t="shared" si="48"/>
        <v>0</v>
      </c>
      <c r="V51" s="212">
        <f t="shared" si="48"/>
        <v>0</v>
      </c>
      <c r="W51" s="214">
        <f t="shared" si="48"/>
        <v>14895162720</v>
      </c>
      <c r="X51" s="228">
        <f t="shared" si="48"/>
        <v>14895162720</v>
      </c>
      <c r="Y51" s="212">
        <f t="shared" si="48"/>
        <v>0</v>
      </c>
      <c r="Z51" s="212">
        <f t="shared" si="48"/>
        <v>0</v>
      </c>
      <c r="AA51" s="212">
        <f t="shared" si="48"/>
        <v>0</v>
      </c>
      <c r="AB51" s="212">
        <f t="shared" si="48"/>
        <v>0</v>
      </c>
      <c r="AC51" s="212">
        <f aca="true" t="shared" si="49" ref="AC51:AY51">AC39</f>
        <v>0</v>
      </c>
      <c r="AD51" s="213">
        <f t="shared" si="49"/>
        <v>0</v>
      </c>
      <c r="AE51" s="212">
        <f t="shared" si="49"/>
        <v>0</v>
      </c>
      <c r="AF51" s="212">
        <f t="shared" si="49"/>
        <v>0</v>
      </c>
      <c r="AG51" s="212">
        <f t="shared" si="49"/>
        <v>0</v>
      </c>
      <c r="AH51" s="212">
        <f t="shared" si="49"/>
        <v>0</v>
      </c>
      <c r="AI51" s="212">
        <f t="shared" si="49"/>
        <v>0</v>
      </c>
      <c r="AJ51" s="214">
        <f t="shared" si="49"/>
        <v>14895162720</v>
      </c>
      <c r="AK51" s="212">
        <f t="shared" si="49"/>
        <v>0</v>
      </c>
      <c r="AL51" s="212">
        <f t="shared" si="49"/>
        <v>644712983</v>
      </c>
      <c r="AM51" s="212">
        <f t="shared" si="49"/>
        <v>4599828148</v>
      </c>
      <c r="AN51" s="212">
        <f t="shared" si="49"/>
        <v>747567439</v>
      </c>
      <c r="AO51" s="212">
        <f t="shared" si="49"/>
        <v>1108638543</v>
      </c>
      <c r="AP51" s="212">
        <f t="shared" si="49"/>
        <v>0</v>
      </c>
      <c r="AQ51" s="213">
        <f t="shared" si="49"/>
        <v>37496000</v>
      </c>
      <c r="AR51" s="212">
        <f t="shared" si="49"/>
        <v>3164697410</v>
      </c>
      <c r="AS51" s="212">
        <f t="shared" si="49"/>
        <v>2000407928</v>
      </c>
      <c r="AT51" s="212">
        <f t="shared" si="49"/>
        <v>2508354893</v>
      </c>
      <c r="AU51" s="212">
        <f t="shared" si="49"/>
        <v>9545279</v>
      </c>
      <c r="AV51" s="212">
        <f t="shared" si="49"/>
        <v>10435000</v>
      </c>
      <c r="AW51" s="212">
        <f t="shared" si="49"/>
        <v>14831683623</v>
      </c>
      <c r="AX51" s="228">
        <f t="shared" si="49"/>
        <v>0</v>
      </c>
      <c r="AY51" s="214">
        <f t="shared" si="49"/>
        <v>63479097</v>
      </c>
    </row>
    <row r="52" ht="13.5" thickBot="1"/>
    <row r="53" spans="1:51" ht="19.5" customHeight="1">
      <c r="A53" s="37"/>
      <c r="B53" s="37"/>
      <c r="C53" s="37"/>
      <c r="D53" s="37"/>
      <c r="E53" s="37"/>
      <c r="F53" s="37"/>
      <c r="G53" s="215" t="s">
        <v>135</v>
      </c>
      <c r="H53" s="229">
        <f aca="true" t="shared" si="50" ref="H53:AB53">H10</f>
        <v>288471464</v>
      </c>
      <c r="I53" s="216">
        <f t="shared" si="50"/>
        <v>0</v>
      </c>
      <c r="J53" s="218">
        <f t="shared" si="50"/>
        <v>288471464</v>
      </c>
      <c r="K53" s="229">
        <f t="shared" si="50"/>
        <v>288471464</v>
      </c>
      <c r="L53" s="216">
        <f t="shared" si="50"/>
        <v>0</v>
      </c>
      <c r="M53" s="216">
        <f t="shared" si="50"/>
        <v>0</v>
      </c>
      <c r="N53" s="216">
        <f t="shared" si="50"/>
        <v>0</v>
      </c>
      <c r="O53" s="216">
        <f t="shared" si="50"/>
        <v>0</v>
      </c>
      <c r="P53" s="216">
        <f t="shared" si="50"/>
        <v>0</v>
      </c>
      <c r="Q53" s="217">
        <f t="shared" si="50"/>
        <v>0</v>
      </c>
      <c r="R53" s="216">
        <f t="shared" si="50"/>
        <v>0</v>
      </c>
      <c r="S53" s="216">
        <f t="shared" si="50"/>
        <v>0</v>
      </c>
      <c r="T53" s="216">
        <f t="shared" si="50"/>
        <v>0</v>
      </c>
      <c r="U53" s="216">
        <f t="shared" si="50"/>
        <v>0</v>
      </c>
      <c r="V53" s="216">
        <f t="shared" si="50"/>
        <v>-253520</v>
      </c>
      <c r="W53" s="218">
        <f t="shared" si="50"/>
        <v>288217944</v>
      </c>
      <c r="X53" s="229">
        <f t="shared" si="50"/>
        <v>288471464</v>
      </c>
      <c r="Y53" s="216">
        <f t="shared" si="50"/>
        <v>0</v>
      </c>
      <c r="Z53" s="216">
        <f t="shared" si="50"/>
        <v>0</v>
      </c>
      <c r="AA53" s="216">
        <f t="shared" si="50"/>
        <v>0</v>
      </c>
      <c r="AB53" s="216">
        <f t="shared" si="50"/>
        <v>0</v>
      </c>
      <c r="AC53" s="216">
        <f aca="true" t="shared" si="51" ref="AC53:AY53">AC10</f>
        <v>0</v>
      </c>
      <c r="AD53" s="217">
        <f t="shared" si="51"/>
        <v>0</v>
      </c>
      <c r="AE53" s="216">
        <f t="shared" si="51"/>
        <v>0</v>
      </c>
      <c r="AF53" s="216">
        <f t="shared" si="51"/>
        <v>0</v>
      </c>
      <c r="AG53" s="216">
        <f t="shared" si="51"/>
        <v>0</v>
      </c>
      <c r="AH53" s="216">
        <f t="shared" si="51"/>
        <v>0</v>
      </c>
      <c r="AI53" s="216">
        <f t="shared" si="51"/>
        <v>-253520</v>
      </c>
      <c r="AJ53" s="218">
        <f t="shared" si="51"/>
        <v>288217944</v>
      </c>
      <c r="AK53" s="229">
        <f t="shared" si="51"/>
        <v>57384979</v>
      </c>
      <c r="AL53" s="216">
        <f t="shared" si="51"/>
        <v>59197610</v>
      </c>
      <c r="AM53" s="216">
        <f t="shared" si="51"/>
        <v>20249236</v>
      </c>
      <c r="AN53" s="216">
        <f t="shared" si="51"/>
        <v>24252589</v>
      </c>
      <c r="AO53" s="216">
        <f t="shared" si="51"/>
        <v>14069211</v>
      </c>
      <c r="AP53" s="216">
        <f t="shared" si="51"/>
        <v>7396626</v>
      </c>
      <c r="AQ53" s="217">
        <f t="shared" si="51"/>
        <v>7538783</v>
      </c>
      <c r="AR53" s="216">
        <f t="shared" si="51"/>
        <v>8382159</v>
      </c>
      <c r="AS53" s="216">
        <f t="shared" si="51"/>
        <v>206582</v>
      </c>
      <c r="AT53" s="216">
        <f t="shared" si="51"/>
        <v>3653188</v>
      </c>
      <c r="AU53" s="216">
        <f t="shared" si="51"/>
        <v>58129</v>
      </c>
      <c r="AV53" s="216">
        <f t="shared" si="51"/>
        <v>36116</v>
      </c>
      <c r="AW53" s="218">
        <f t="shared" si="51"/>
        <v>202425208</v>
      </c>
      <c r="AX53" s="229">
        <f t="shared" si="51"/>
        <v>253520</v>
      </c>
      <c r="AY53" s="218">
        <f t="shared" si="51"/>
        <v>85792736</v>
      </c>
    </row>
    <row r="54" spans="1:51" ht="19.5" customHeight="1" thickBot="1">
      <c r="A54" s="37"/>
      <c r="B54" s="37"/>
      <c r="C54" s="37"/>
      <c r="D54" s="37"/>
      <c r="E54" s="37"/>
      <c r="F54" s="37"/>
      <c r="G54" s="219" t="s">
        <v>178</v>
      </c>
      <c r="H54" s="230">
        <f aca="true" t="shared" si="52" ref="H54:AB54">H23</f>
        <v>21042816548</v>
      </c>
      <c r="I54" s="220">
        <f t="shared" si="52"/>
        <v>0</v>
      </c>
      <c r="J54" s="222">
        <f t="shared" si="52"/>
        <v>21042816548</v>
      </c>
      <c r="K54" s="230">
        <f t="shared" si="52"/>
        <v>21042816548</v>
      </c>
      <c r="L54" s="220">
        <f t="shared" si="52"/>
        <v>0</v>
      </c>
      <c r="M54" s="220">
        <f t="shared" si="52"/>
        <v>0</v>
      </c>
      <c r="N54" s="220">
        <f t="shared" si="52"/>
        <v>0</v>
      </c>
      <c r="O54" s="220">
        <f t="shared" si="52"/>
        <v>0</v>
      </c>
      <c r="P54" s="220">
        <f t="shared" si="52"/>
        <v>0</v>
      </c>
      <c r="Q54" s="221">
        <f t="shared" si="52"/>
        <v>0</v>
      </c>
      <c r="R54" s="220">
        <f t="shared" si="52"/>
        <v>0</v>
      </c>
      <c r="S54" s="220">
        <f t="shared" si="52"/>
        <v>0</v>
      </c>
      <c r="T54" s="220">
        <f t="shared" si="52"/>
        <v>0</v>
      </c>
      <c r="U54" s="220">
        <f t="shared" si="52"/>
        <v>0</v>
      </c>
      <c r="V54" s="220">
        <f t="shared" si="52"/>
        <v>0</v>
      </c>
      <c r="W54" s="222">
        <f t="shared" si="52"/>
        <v>21042816548</v>
      </c>
      <c r="X54" s="230">
        <f t="shared" si="52"/>
        <v>21042816548</v>
      </c>
      <c r="Y54" s="220">
        <f t="shared" si="52"/>
        <v>0</v>
      </c>
      <c r="Z54" s="220">
        <f t="shared" si="52"/>
        <v>0</v>
      </c>
      <c r="AA54" s="220">
        <f t="shared" si="52"/>
        <v>0</v>
      </c>
      <c r="AB54" s="220">
        <f t="shared" si="52"/>
        <v>0</v>
      </c>
      <c r="AC54" s="220">
        <f aca="true" t="shared" si="53" ref="AC54:AY54">AC23</f>
        <v>0</v>
      </c>
      <c r="AD54" s="221">
        <f t="shared" si="53"/>
        <v>0</v>
      </c>
      <c r="AE54" s="220">
        <f t="shared" si="53"/>
        <v>0</v>
      </c>
      <c r="AF54" s="220">
        <f t="shared" si="53"/>
        <v>0</v>
      </c>
      <c r="AG54" s="220">
        <f t="shared" si="53"/>
        <v>0</v>
      </c>
      <c r="AH54" s="220">
        <f t="shared" si="53"/>
        <v>0</v>
      </c>
      <c r="AI54" s="220">
        <f t="shared" si="53"/>
        <v>0</v>
      </c>
      <c r="AJ54" s="222">
        <f t="shared" si="53"/>
        <v>21042816548</v>
      </c>
      <c r="AK54" s="230">
        <f t="shared" si="53"/>
        <v>2976735473</v>
      </c>
      <c r="AL54" s="220">
        <f t="shared" si="53"/>
        <v>2716695045</v>
      </c>
      <c r="AM54" s="220">
        <f t="shared" si="53"/>
        <v>4909303808</v>
      </c>
      <c r="AN54" s="220">
        <f t="shared" si="53"/>
        <v>1206282339</v>
      </c>
      <c r="AO54" s="220">
        <f t="shared" si="53"/>
        <v>1265066097</v>
      </c>
      <c r="AP54" s="220">
        <f t="shared" si="53"/>
        <v>6433160</v>
      </c>
      <c r="AQ54" s="221">
        <f t="shared" si="53"/>
        <v>145082765</v>
      </c>
      <c r="AR54" s="220">
        <f t="shared" si="53"/>
        <v>3165282050</v>
      </c>
      <c r="AS54" s="220">
        <f t="shared" si="53"/>
        <v>2000691628</v>
      </c>
      <c r="AT54" s="220">
        <f t="shared" si="53"/>
        <v>2559458314</v>
      </c>
      <c r="AU54" s="220">
        <f t="shared" si="53"/>
        <v>9545279</v>
      </c>
      <c r="AV54" s="220">
        <f t="shared" si="53"/>
        <v>10435125</v>
      </c>
      <c r="AW54" s="222">
        <f t="shared" si="53"/>
        <v>20971011083</v>
      </c>
      <c r="AX54" s="230">
        <f t="shared" si="53"/>
        <v>0</v>
      </c>
      <c r="AY54" s="222">
        <f t="shared" si="53"/>
        <v>71805465</v>
      </c>
    </row>
    <row r="55" ht="13.5" thickBot="1"/>
    <row r="56" spans="1:51" ht="19.5" customHeight="1" thickBot="1">
      <c r="A56" s="37"/>
      <c r="B56" s="37"/>
      <c r="C56" s="37"/>
      <c r="D56" s="37"/>
      <c r="E56" s="37"/>
      <c r="F56" s="37"/>
      <c r="G56" s="223" t="s">
        <v>214</v>
      </c>
      <c r="H56" s="231">
        <f aca="true" t="shared" si="54" ref="H56:AB56">SUM(H50:H54)/2</f>
        <v>21331288012</v>
      </c>
      <c r="I56" s="224">
        <f t="shared" si="54"/>
        <v>0</v>
      </c>
      <c r="J56" s="226">
        <f t="shared" si="54"/>
        <v>21331288012</v>
      </c>
      <c r="K56" s="231">
        <f t="shared" si="54"/>
        <v>21331288012</v>
      </c>
      <c r="L56" s="224">
        <f t="shared" si="54"/>
        <v>0</v>
      </c>
      <c r="M56" s="224">
        <f t="shared" si="54"/>
        <v>0</v>
      </c>
      <c r="N56" s="224">
        <f t="shared" si="54"/>
        <v>0</v>
      </c>
      <c r="O56" s="224">
        <f t="shared" si="54"/>
        <v>0</v>
      </c>
      <c r="P56" s="224">
        <f t="shared" si="54"/>
        <v>0</v>
      </c>
      <c r="Q56" s="225">
        <f t="shared" si="54"/>
        <v>0</v>
      </c>
      <c r="R56" s="224">
        <f t="shared" si="54"/>
        <v>0</v>
      </c>
      <c r="S56" s="224">
        <f t="shared" si="54"/>
        <v>0</v>
      </c>
      <c r="T56" s="224">
        <f t="shared" si="54"/>
        <v>0</v>
      </c>
      <c r="U56" s="224">
        <f t="shared" si="54"/>
        <v>0</v>
      </c>
      <c r="V56" s="224">
        <f t="shared" si="54"/>
        <v>-253520</v>
      </c>
      <c r="W56" s="226">
        <f t="shared" si="54"/>
        <v>21331034492</v>
      </c>
      <c r="X56" s="231">
        <f t="shared" si="54"/>
        <v>21331288012</v>
      </c>
      <c r="Y56" s="224">
        <f t="shared" si="54"/>
        <v>0</v>
      </c>
      <c r="Z56" s="224">
        <f t="shared" si="54"/>
        <v>0</v>
      </c>
      <c r="AA56" s="224">
        <f t="shared" si="54"/>
        <v>0</v>
      </c>
      <c r="AB56" s="224">
        <f t="shared" si="54"/>
        <v>0</v>
      </c>
      <c r="AC56" s="224">
        <f aca="true" t="shared" si="55" ref="AC56:AY56">SUM(AC50:AC54)/2</f>
        <v>0</v>
      </c>
      <c r="AD56" s="225">
        <f t="shared" si="55"/>
        <v>0</v>
      </c>
      <c r="AE56" s="224">
        <f t="shared" si="55"/>
        <v>0</v>
      </c>
      <c r="AF56" s="224">
        <f t="shared" si="55"/>
        <v>0</v>
      </c>
      <c r="AG56" s="224">
        <f t="shared" si="55"/>
        <v>0</v>
      </c>
      <c r="AH56" s="224">
        <f t="shared" si="55"/>
        <v>0</v>
      </c>
      <c r="AI56" s="224">
        <f t="shared" si="55"/>
        <v>-253520</v>
      </c>
      <c r="AJ56" s="226">
        <f t="shared" si="55"/>
        <v>21331034492</v>
      </c>
      <c r="AK56" s="231">
        <f t="shared" si="55"/>
        <v>3034120452</v>
      </c>
      <c r="AL56" s="224">
        <f t="shared" si="55"/>
        <v>2775892655</v>
      </c>
      <c r="AM56" s="224">
        <f t="shared" si="55"/>
        <v>4929553044</v>
      </c>
      <c r="AN56" s="224">
        <f t="shared" si="55"/>
        <v>1230534928</v>
      </c>
      <c r="AO56" s="224">
        <f t="shared" si="55"/>
        <v>1279135308</v>
      </c>
      <c r="AP56" s="224">
        <f t="shared" si="55"/>
        <v>13829786</v>
      </c>
      <c r="AQ56" s="225">
        <f t="shared" si="55"/>
        <v>152621548</v>
      </c>
      <c r="AR56" s="224">
        <f t="shared" si="55"/>
        <v>3173664209</v>
      </c>
      <c r="AS56" s="224">
        <f t="shared" si="55"/>
        <v>2000898210</v>
      </c>
      <c r="AT56" s="224">
        <f t="shared" si="55"/>
        <v>2563111502</v>
      </c>
      <c r="AU56" s="224">
        <f t="shared" si="55"/>
        <v>9603408</v>
      </c>
      <c r="AV56" s="224">
        <f t="shared" si="55"/>
        <v>10471241</v>
      </c>
      <c r="AW56" s="226">
        <f t="shared" si="55"/>
        <v>21173436291</v>
      </c>
      <c r="AX56" s="231">
        <f t="shared" si="55"/>
        <v>253520</v>
      </c>
      <c r="AY56" s="226">
        <f t="shared" si="55"/>
        <v>157598201</v>
      </c>
    </row>
  </sheetData>
  <printOptions horizontalCentered="1" verticalCentered="1"/>
  <pageMargins left="0.4724409448818898" right="0.4724409448818898" top="0.4724409448818898" bottom="0.7086614173228347" header="0" footer="0"/>
  <pageSetup fitToHeight="2" fitToWidth="1" horizontalDpi="600" verticalDpi="600" orientation="landscape" paperSize="9" scale="68" r:id="rId2"/>
  <headerFooter alignWithMargins="0">
    <oddHeader>&amp;LGPR-&amp;D&amp;C&amp;16INFORME EJECUCIÓN DE GASTOS - CUENTAS POR PAGAR&amp;RPág. &amp;P/&amp;N</oddHeader>
    <oddFooter xml:space="preserve">&amp;L&amp;14JORGE NELSON GAITÁN LEÓN
Jefe de Presupuesto&amp;C&amp;14LUZ MARINA CHICA ARANGO
Directora General&amp;R&amp;14HUMBERTO RAMIREZ GARCIA
Subdirector Financiero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3.7109375" style="0" customWidth="1"/>
    <col min="3" max="3" width="12.8515625" style="0" customWidth="1"/>
    <col min="5" max="5" width="12.421875" style="0" customWidth="1"/>
    <col min="6" max="6" width="22.28125" style="0" customWidth="1"/>
  </cols>
  <sheetData>
    <row r="1" ht="13.5" thickBot="1"/>
    <row r="2" spans="1:6" ht="15.75">
      <c r="A2" s="433" t="s">
        <v>263</v>
      </c>
      <c r="B2" s="434"/>
      <c r="C2" s="434"/>
      <c r="D2" s="434"/>
      <c r="E2" s="434"/>
      <c r="F2" s="435"/>
    </row>
    <row r="3" spans="1:6" ht="12.75">
      <c r="A3" s="436"/>
      <c r="B3" s="437"/>
      <c r="C3" s="437"/>
      <c r="D3" s="437"/>
      <c r="E3" s="437"/>
      <c r="F3" s="438"/>
    </row>
    <row r="4" spans="1:6" ht="12.75">
      <c r="A4" s="439" t="s">
        <v>264</v>
      </c>
      <c r="B4" s="440"/>
      <c r="C4" s="440"/>
      <c r="D4" s="440"/>
      <c r="E4" s="440"/>
      <c r="F4" s="441"/>
    </row>
    <row r="5" spans="1:6" ht="12.75">
      <c r="A5" s="439" t="s">
        <v>275</v>
      </c>
      <c r="B5" s="440"/>
      <c r="C5" s="440"/>
      <c r="D5" s="440"/>
      <c r="E5" s="440"/>
      <c r="F5" s="441"/>
    </row>
    <row r="6" spans="1:6" ht="12.75">
      <c r="A6" s="436"/>
      <c r="B6" s="437"/>
      <c r="C6" s="437"/>
      <c r="D6" s="437"/>
      <c r="E6" s="437"/>
      <c r="F6" s="438"/>
    </row>
    <row r="7" spans="1:6" ht="12.75">
      <c r="A7" s="436" t="s">
        <v>265</v>
      </c>
      <c r="B7" s="437"/>
      <c r="C7" s="437"/>
      <c r="D7" s="437"/>
      <c r="E7" s="437"/>
      <c r="F7" s="451" t="s">
        <v>266</v>
      </c>
    </row>
    <row r="8" spans="1:6" ht="13.5" thickBot="1">
      <c r="A8" s="446" t="s">
        <v>276</v>
      </c>
      <c r="B8" s="447"/>
      <c r="C8" s="447"/>
      <c r="D8" s="447"/>
      <c r="E8" s="447"/>
      <c r="F8" s="462">
        <f ca="1">TODAY()-4</f>
        <v>37833</v>
      </c>
    </row>
    <row r="9" spans="1:6" ht="13.5" thickBot="1">
      <c r="A9" s="436"/>
      <c r="B9" s="437"/>
      <c r="C9" s="437"/>
      <c r="D9" s="437"/>
      <c r="E9" s="437"/>
      <c r="F9" s="438"/>
    </row>
    <row r="10" spans="1:7" ht="36.75" thickBot="1">
      <c r="A10" s="448" t="s">
        <v>267</v>
      </c>
      <c r="B10" s="449" t="s">
        <v>268</v>
      </c>
      <c r="C10" s="449" t="s">
        <v>269</v>
      </c>
      <c r="D10" s="449" t="s">
        <v>270</v>
      </c>
      <c r="E10" s="449" t="s">
        <v>271</v>
      </c>
      <c r="F10" s="450" t="s">
        <v>272</v>
      </c>
      <c r="G10" s="432"/>
    </row>
    <row r="11" spans="1:7" ht="12.75">
      <c r="A11" s="436"/>
      <c r="B11" s="442"/>
      <c r="C11" s="442"/>
      <c r="D11" s="442"/>
      <c r="E11" s="442"/>
      <c r="F11" s="443"/>
      <c r="G11" s="432"/>
    </row>
    <row r="12" spans="1:6" ht="12.75">
      <c r="A12" s="436" t="s">
        <v>273</v>
      </c>
      <c r="B12" s="444">
        <f>GASTOS!V$25+GASTOS!V$27-C12</f>
        <v>453498425</v>
      </c>
      <c r="C12" s="444">
        <v>1425098</v>
      </c>
      <c r="D12" s="444">
        <v>0</v>
      </c>
      <c r="E12" s="444">
        <f>GASTOS!V11</f>
        <v>538467807</v>
      </c>
      <c r="F12" s="445"/>
    </row>
    <row r="13" spans="1:6" ht="12.75">
      <c r="A13" s="436" t="s">
        <v>225</v>
      </c>
      <c r="B13" s="444">
        <f>GASTOS!W$25+GASTOS!W$27-C13</f>
        <v>666078292</v>
      </c>
      <c r="C13" s="444">
        <v>9438294</v>
      </c>
      <c r="D13" s="444">
        <v>0</v>
      </c>
      <c r="E13" s="444">
        <f>GASTOS!W11</f>
        <v>690409218</v>
      </c>
      <c r="F13" s="445"/>
    </row>
    <row r="14" spans="1:6" ht="12.75">
      <c r="A14" s="436" t="s">
        <v>226</v>
      </c>
      <c r="B14" s="444">
        <f>GASTOS!X$25+GASTOS!X$27-C14</f>
        <v>375818684</v>
      </c>
      <c r="C14" s="444">
        <v>8820277</v>
      </c>
      <c r="D14" s="444">
        <v>0</v>
      </c>
      <c r="E14" s="444">
        <f>GASTOS!X11</f>
        <v>544616119</v>
      </c>
      <c r="F14" s="445"/>
    </row>
    <row r="15" spans="1:6" ht="12.75">
      <c r="A15" s="436" t="s">
        <v>227</v>
      </c>
      <c r="B15" s="444">
        <f>GASTOS!Y$25+GASTOS!Y$27-C15</f>
        <v>256461889</v>
      </c>
      <c r="C15" s="444">
        <v>3327066</v>
      </c>
      <c r="D15" s="444">
        <v>0</v>
      </c>
      <c r="E15" s="444">
        <f>GASTOS!Y11</f>
        <v>682802065</v>
      </c>
      <c r="F15" s="445"/>
    </row>
    <row r="16" spans="1:6" ht="12.75">
      <c r="A16" s="436" t="s">
        <v>228</v>
      </c>
      <c r="B16" s="444">
        <f>GASTOS!Z$25+GASTOS!Z$27-C16</f>
        <v>250148240</v>
      </c>
      <c r="C16" s="444">
        <v>7141797</v>
      </c>
      <c r="D16" s="444">
        <v>0</v>
      </c>
      <c r="E16" s="444">
        <f>GASTOS!Z11</f>
        <v>629355255</v>
      </c>
      <c r="F16" s="445"/>
    </row>
    <row r="17" spans="1:6" ht="12.75">
      <c r="A17" s="436" t="s">
        <v>229</v>
      </c>
      <c r="B17" s="444">
        <f>GASTOS!AA$25+GASTOS!AA$27-C17</f>
        <v>189819287</v>
      </c>
      <c r="C17" s="444">
        <v>2351891</v>
      </c>
      <c r="D17" s="444">
        <v>0</v>
      </c>
      <c r="E17" s="444">
        <f>GASTOS!AA11</f>
        <v>1044071412</v>
      </c>
      <c r="F17" s="445"/>
    </row>
    <row r="18" spans="1:6" ht="12.75">
      <c r="A18" s="436" t="s">
        <v>230</v>
      </c>
      <c r="B18" s="444">
        <f>GASTOS!AB$25+GASTOS!AB$27-C18</f>
        <v>164305742</v>
      </c>
      <c r="C18" s="444">
        <v>1681778</v>
      </c>
      <c r="D18" s="444">
        <v>0</v>
      </c>
      <c r="E18" s="444">
        <f>GASTOS!AB11</f>
        <v>716984956</v>
      </c>
      <c r="F18" s="445"/>
    </row>
    <row r="19" spans="1:6" ht="12.75">
      <c r="A19" s="436" t="s">
        <v>231</v>
      </c>
      <c r="B19" s="444">
        <f>GASTOS!AC$25+GASTOS!AC$27-C19</f>
        <v>243478189</v>
      </c>
      <c r="C19" s="444">
        <v>4938587</v>
      </c>
      <c r="D19" s="444">
        <v>0</v>
      </c>
      <c r="E19" s="444">
        <f>GASTOS!AC11</f>
        <v>662387085</v>
      </c>
      <c r="F19" s="445"/>
    </row>
    <row r="20" spans="1:6" ht="12.75">
      <c r="A20" s="436" t="s">
        <v>232</v>
      </c>
      <c r="B20" s="444">
        <f>GASTOS!AD$25+GASTOS!AD$27-C20</f>
        <v>172766333</v>
      </c>
      <c r="C20" s="444">
        <v>5453138</v>
      </c>
      <c r="D20" s="444">
        <v>0</v>
      </c>
      <c r="E20" s="444">
        <f>GASTOS!AD11</f>
        <v>596748095</v>
      </c>
      <c r="F20" s="445"/>
    </row>
    <row r="21" spans="1:6" ht="12.75">
      <c r="A21" s="436" t="s">
        <v>233</v>
      </c>
      <c r="B21" s="444">
        <f>GASTOS!AE$25+GASTOS!AE$27-C21</f>
        <v>145203627</v>
      </c>
      <c r="C21" s="444">
        <v>4016676</v>
      </c>
      <c r="D21" s="444">
        <v>0</v>
      </c>
      <c r="E21" s="444">
        <f>GASTOS!AE11</f>
        <v>549637975</v>
      </c>
      <c r="F21" s="445"/>
    </row>
    <row r="22" spans="1:6" ht="12.75">
      <c r="A22" s="436" t="s">
        <v>234</v>
      </c>
      <c r="B22" s="444">
        <f>GASTOS!AF$25+GASTOS!AF$27-C22</f>
        <v>103267166</v>
      </c>
      <c r="C22" s="444">
        <v>9305331</v>
      </c>
      <c r="D22" s="444">
        <v>0</v>
      </c>
      <c r="E22" s="444">
        <f>GASTOS!AF11</f>
        <v>673214682</v>
      </c>
      <c r="F22" s="445"/>
    </row>
    <row r="23" spans="1:6" s="463" customFormat="1" ht="12.75">
      <c r="A23" s="454" t="s">
        <v>235</v>
      </c>
      <c r="B23" s="455">
        <f>GASTOS!AG$25+GASTOS!AG$27-C23</f>
        <v>129225871</v>
      </c>
      <c r="C23" s="455">
        <v>28998482</v>
      </c>
      <c r="D23" s="455">
        <v>0</v>
      </c>
      <c r="E23" s="455">
        <f>GASTOS!AG11</f>
        <v>1793664255</v>
      </c>
      <c r="F23" s="456"/>
    </row>
    <row r="24" spans="1:6" ht="13.5" thickBot="1">
      <c r="A24" s="436"/>
      <c r="B24" s="444"/>
      <c r="C24" s="444"/>
      <c r="D24" s="444"/>
      <c r="E24" s="444"/>
      <c r="F24" s="445"/>
    </row>
    <row r="25" spans="1:6" ht="13.5" thickBot="1">
      <c r="A25" s="448" t="s">
        <v>274</v>
      </c>
      <c r="B25" s="452">
        <f>SUM(B12:B23)</f>
        <v>3150071745</v>
      </c>
      <c r="C25" s="452">
        <f>SUM(C12:C23)</f>
        <v>86898415</v>
      </c>
      <c r="D25" s="452">
        <f>SUM(D12:D23)</f>
        <v>0</v>
      </c>
      <c r="E25" s="452">
        <f>SUM(E12:E23)</f>
        <v>9122358924</v>
      </c>
      <c r="F25" s="453"/>
    </row>
    <row r="30" ht="12.75">
      <c r="B30" s="461"/>
    </row>
  </sheetData>
  <printOptions horizontalCentered="1" verticalCentered="1"/>
  <pageMargins left="0.7874015748031497" right="0.7874015748031497" top="0.984251968503937" bottom="1.2" header="0.5118110236220472" footer="0.5118110236220472"/>
  <pageSetup horizontalDpi="600" verticalDpi="600" orientation="landscape" r:id="rId2"/>
  <headerFooter alignWithMargins="0">
    <oddFooter>&amp;LJORGE NELSON GAITAN LEON
Jefe de presupuesto 
&amp;CLUZ MARINA CHICA ARANGO
Directora General &amp;RHUMBERTO RAMIREZ GARCIA
Subdirector  Financiero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GPR/Nelson</dc:creator>
  <cp:keywords/>
  <dc:description/>
  <cp:lastModifiedBy>Carlos Caicedo</cp:lastModifiedBy>
  <cp:lastPrinted>2003-07-24T20:58:39Z</cp:lastPrinted>
  <dcterms:created xsi:type="dcterms:W3CDTF">1998-05-13T20:09:52Z</dcterms:created>
  <dcterms:modified xsi:type="dcterms:W3CDTF">2003-08-04T13:11:55Z</dcterms:modified>
  <cp:category/>
  <cp:version/>
  <cp:contentType/>
  <cp:contentStatus/>
</cp:coreProperties>
</file>