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75" windowWidth="9540" windowHeight="1725" activeTab="5"/>
  </bookViews>
  <sheets>
    <sheet name="INGRESOS" sheetId="1" r:id="rId1"/>
    <sheet name="GASTOS" sheetId="2" r:id="rId2"/>
    <sheet name="PAC" sheetId="3" r:id="rId3"/>
    <sheet name="CxP" sheetId="4" r:id="rId4"/>
    <sheet name="Res.Presupuestal" sheetId="5" r:id="rId5"/>
    <sheet name="VIGILANCIA FISCAL" sheetId="6" r:id="rId6"/>
    <sheet name="OFC.PLANEACION" sheetId="7" r:id="rId7"/>
  </sheets>
  <externalReferences>
    <externalReference r:id="rId10"/>
  </externalReferences>
  <definedNames>
    <definedName name="\a" localSheetId="3">'[1]INGRESOS'!#REF!</definedName>
    <definedName name="\a" localSheetId="4">'[1]INGRESOS'!#REF!</definedName>
    <definedName name="\a">'INGRESOS'!#REF!</definedName>
    <definedName name="\z" localSheetId="3">'CxP'!#REF!</definedName>
    <definedName name="\z" localSheetId="4">'Res.Presupuestal'!#REF!</definedName>
    <definedName name="\z">'GASTOS'!#REF!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C_" localSheetId="3">'CxP'!#REF!</definedName>
    <definedName name="C_" localSheetId="4">'Res.Presupuestal'!#REF!</definedName>
    <definedName name="C_">'GASTOS'!#REF!</definedName>
    <definedName name="Cargo" localSheetId="3">'[1]INGRESOS'!#REF!</definedName>
    <definedName name="Cargo" localSheetId="4">'[1]INGRESOS'!#REF!</definedName>
    <definedName name="Cargo">'INGRESOS'!#REF!</definedName>
    <definedName name="Firma" localSheetId="3">'[1]INGRESOS'!#REF!</definedName>
    <definedName name="Firma" localSheetId="4">'[1]INGRESOS'!#REF!</definedName>
    <definedName name="Firma">'INGRESOS'!#REF!</definedName>
    <definedName name="GASTOS" localSheetId="3">'CxP'!$A$1:$BF$19</definedName>
    <definedName name="GASTOS" localSheetId="4">'Res.Presupuestal'!$A$1:$AZ$19</definedName>
    <definedName name="GASTOS">'GASTOS'!$A$1:$BK$39</definedName>
    <definedName name="INGRESOS">'INGRESOS'!$A$1:$Y$34</definedName>
    <definedName name="PAC">'PAC'!$A$1:$AL$29</definedName>
    <definedName name="RES_APROP">#REF!</definedName>
    <definedName name="_xlnm.Print_Titles" localSheetId="3">'CxP'!$1:$7</definedName>
    <definedName name="_xlnm.Print_Titles" localSheetId="1">'GASTOS'!$1:$7</definedName>
    <definedName name="_xlnm.Print_Titles" localSheetId="6">'OFC.PLANEACION'!$2:$12</definedName>
    <definedName name="_xlnm.Print_Titles" localSheetId="4">'Res.Presupuestal'!$1:$7</definedName>
  </definedNames>
  <calcPr fullCalcOnLoad="1"/>
</workbook>
</file>

<file path=xl/sharedStrings.xml><?xml version="1.0" encoding="utf-8"?>
<sst xmlns="http://schemas.openxmlformats.org/spreadsheetml/2006/main" count="1841" uniqueCount="344">
  <si>
    <t>Sección Principal</t>
  </si>
  <si>
    <t xml:space="preserve"> 22 MinEducación</t>
  </si>
  <si>
    <t>Mes Reportado: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</si>
  <si>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</si>
  <si>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</si>
  <si>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</si>
  <si>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</si>
  <si>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</si>
  <si>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</si>
  <si>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</si>
  <si>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</si>
  <si>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</si>
  <si>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</si>
  <si>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</si>
  <si>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</si>
  <si>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</si>
  <si>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Fecha:</t>
  </si>
  <si>
    <t>Sección</t>
  </si>
  <si>
    <t>Vigencia Fiscal:</t>
  </si>
  <si>
    <t>2001</t>
  </si>
  <si>
    <t>PRESUPUESTO</t>
  </si>
  <si>
    <t>MODIFICACIONES</t>
  </si>
  <si>
    <t>RECAUDO</t>
  </si>
  <si>
    <t>RECAUDOS</t>
  </si>
  <si>
    <t>SALDO</t>
  </si>
  <si>
    <t>NIVEL</t>
  </si>
  <si>
    <t>DESCRIPCION</t>
  </si>
  <si>
    <t>Recono-</t>
  </si>
  <si>
    <t>INICIAL</t>
  </si>
  <si>
    <t>ADICIONES</t>
  </si>
  <si>
    <t>REDUCCIONES</t>
  </si>
  <si>
    <t>DEFINITIVO</t>
  </si>
  <si>
    <t>ACUMULADOS</t>
  </si>
  <si>
    <t>cimiento</t>
  </si>
  <si>
    <t>(1)</t>
  </si>
  <si>
    <t>(2)</t>
  </si>
  <si>
    <t>(3)</t>
  </si>
  <si>
    <t>(4=1+2-3)</t>
  </si>
  <si>
    <t>(5)</t>
  </si>
  <si>
    <t>(6)</t>
  </si>
  <si>
    <t>(7=4-6)</t>
  </si>
  <si>
    <t>3000</t>
  </si>
  <si>
    <t>I. RECURSOS PROPIOS (A+B)</t>
  </si>
  <si>
    <t>3100</t>
  </si>
  <si>
    <t xml:space="preserve">   A. RENTAS PROPIAS</t>
  </si>
  <si>
    <t>3110</t>
  </si>
  <si>
    <t xml:space="preserve">      TRIBUTARIOS</t>
  </si>
  <si>
    <t>3111</t>
  </si>
  <si>
    <t xml:space="preserve">         IMPUESTOS</t>
  </si>
  <si>
    <t>3112</t>
  </si>
  <si>
    <t xml:space="preserve">         CONTRIBUCIONES</t>
  </si>
  <si>
    <t>3120</t>
  </si>
  <si>
    <t xml:space="preserve">      NO TRIBUTARIOS</t>
  </si>
  <si>
    <t>3121</t>
  </si>
  <si>
    <t xml:space="preserve">         VENTA DE BIENES Y SERVICIOS</t>
  </si>
  <si>
    <t>3122</t>
  </si>
  <si>
    <t xml:space="preserve">         RENTAS CONTRACTUALES</t>
  </si>
  <si>
    <t>3123</t>
  </si>
  <si>
    <t xml:space="preserve">         OPERACIONES COMERCIALES</t>
  </si>
  <si>
    <t>3124</t>
  </si>
  <si>
    <t xml:space="preserve">         APORTES PATRONALES</t>
  </si>
  <si>
    <t>3125</t>
  </si>
  <si>
    <t xml:space="preserve">         APORTES DE AFILIADOS</t>
  </si>
  <si>
    <t>3126</t>
  </si>
  <si>
    <t xml:space="preserve">         APORTES DE OTRAS ENTIDADES</t>
  </si>
  <si>
    <t>3127</t>
  </si>
  <si>
    <t xml:space="preserve">         DONACIONES</t>
  </si>
  <si>
    <t>3128</t>
  </si>
  <si>
    <t xml:space="preserve">         OTROS</t>
  </si>
  <si>
    <t>3200</t>
  </si>
  <si>
    <t xml:space="preserve">   B. RECURSOS DE CAPITAL</t>
  </si>
  <si>
    <t>3210</t>
  </si>
  <si>
    <t xml:space="preserve">      CRÉDITO EXTERNO</t>
  </si>
  <si>
    <t>3220</t>
  </si>
  <si>
    <t xml:space="preserve">      CRÉDITO INTERNO</t>
  </si>
  <si>
    <t>3230</t>
  </si>
  <si>
    <t xml:space="preserve">      RENDIMIENTO INVERSIONES FINANCIERAS</t>
  </si>
  <si>
    <t>3240</t>
  </si>
  <si>
    <t xml:space="preserve">      DIFERENCIAL CAMBIARIO</t>
  </si>
  <si>
    <t>3250</t>
  </si>
  <si>
    <t xml:space="preserve">      RECURSOS DEL BALANCE  (3250..3254)</t>
  </si>
  <si>
    <t>3251</t>
  </si>
  <si>
    <t xml:space="preserve">         VENTA DE ACTIVOS</t>
  </si>
  <si>
    <t>3252</t>
  </si>
  <si>
    <t xml:space="preserve">         SUPERAVIT FISCAL</t>
  </si>
  <si>
    <t>3253</t>
  </si>
  <si>
    <t xml:space="preserve">         CANCELACION RESERVAS</t>
  </si>
  <si>
    <t>4000</t>
  </si>
  <si>
    <t>II. APORTES DE LA NACION</t>
  </si>
  <si>
    <t>4100</t>
  </si>
  <si>
    <t xml:space="preserve">    FUNCIONAMIENTO</t>
  </si>
  <si>
    <t>4200</t>
  </si>
  <si>
    <t xml:space="preserve">    DEUDA</t>
  </si>
  <si>
    <t>4300</t>
  </si>
  <si>
    <t xml:space="preserve">    INVERSION</t>
  </si>
  <si>
    <t>TOTAL INGRESOS (I+II)</t>
  </si>
  <si>
    <t>IDENTIFICACION PRESUPUESTAL</t>
  </si>
  <si>
    <t>APROPIACION</t>
  </si>
  <si>
    <t>MODIFICACIONES (2)</t>
  </si>
  <si>
    <t>COMPROMISOS</t>
  </si>
  <si>
    <t>OBLIGACIONES</t>
  </si>
  <si>
    <t>PAGOS</t>
  </si>
  <si>
    <t>RESERVA</t>
  </si>
  <si>
    <t>CUENTAS</t>
  </si>
  <si>
    <t>FID</t>
  </si>
  <si>
    <t>UE</t>
  </si>
  <si>
    <t>CT SC</t>
  </si>
  <si>
    <t>OBJG</t>
  </si>
  <si>
    <t>ORD</t>
  </si>
  <si>
    <t>REC</t>
  </si>
  <si>
    <t>TRASLADOS</t>
  </si>
  <si>
    <t>DEFINITIVA</t>
  </si>
  <si>
    <t>PRESUPUESTAL</t>
  </si>
  <si>
    <t>POR PAGAR</t>
  </si>
  <si>
    <t>PROGR</t>
  </si>
  <si>
    <t>SUBPR</t>
  </si>
  <si>
    <t>PROYE</t>
  </si>
  <si>
    <t>Contracréditos</t>
  </si>
  <si>
    <t>Créditos</t>
  </si>
  <si>
    <t>Aplazamientos</t>
  </si>
  <si>
    <t>Reducciones</t>
  </si>
  <si>
    <t>Adiciones</t>
  </si>
  <si>
    <t>(3=1-2)</t>
  </si>
  <si>
    <t>CONTRACREDITOS</t>
  </si>
  <si>
    <t>CREDITOS</t>
  </si>
  <si>
    <t>APLAZAMIENTOS</t>
  </si>
  <si>
    <t>(4)</t>
  </si>
  <si>
    <t>(6=3-4)</t>
  </si>
  <si>
    <t>(7=4-5)</t>
  </si>
  <si>
    <t>(8=5-6)</t>
  </si>
  <si>
    <t>RECURSOS ADMINISTRADOS</t>
  </si>
  <si>
    <t>F</t>
  </si>
  <si>
    <t xml:space="preserve"> </t>
  </si>
  <si>
    <t>TOTAL GASTOS DE FUNCIONAMIENTO</t>
  </si>
  <si>
    <t>00</t>
  </si>
  <si>
    <t>1</t>
  </si>
  <si>
    <t>Gastos de Personal</t>
  </si>
  <si>
    <t>1-0</t>
  </si>
  <si>
    <t>20</t>
  </si>
  <si>
    <t>Sueldos de Personal de Nomina</t>
  </si>
  <si>
    <t>2</t>
  </si>
  <si>
    <t>Horas Extras y Días Festivos</t>
  </si>
  <si>
    <t>3</t>
  </si>
  <si>
    <t>Indemnización por Vacaciones</t>
  </si>
  <si>
    <t>4</t>
  </si>
  <si>
    <t>Prima Técnica</t>
  </si>
  <si>
    <t>5</t>
  </si>
  <si>
    <t>Otros</t>
  </si>
  <si>
    <t>8</t>
  </si>
  <si>
    <t>Servicios Personales Indirectos</t>
  </si>
  <si>
    <t>Contribuciones inherentes a la Nómina Sector Privado</t>
  </si>
  <si>
    <t>Contribuciones inherentes a la Nómina Sector Público</t>
  </si>
  <si>
    <t>999</t>
  </si>
  <si>
    <t>Pagos Pasivos Exigibles Vigencias Expiradas</t>
  </si>
  <si>
    <t>Gastos Generales</t>
  </si>
  <si>
    <t>2-0</t>
  </si>
  <si>
    <t>Adquisición de Bienes</t>
  </si>
  <si>
    <t>Adquisición de Servicios</t>
  </si>
  <si>
    <t>Impuestos y Multas</t>
  </si>
  <si>
    <t>Transferencias Corrientes</t>
  </si>
  <si>
    <t>3-2</t>
  </si>
  <si>
    <t>Cuota de Auditaje Contranal</t>
  </si>
  <si>
    <t>3-4</t>
  </si>
  <si>
    <t>Organismos Internacionales</t>
  </si>
  <si>
    <t>3-6</t>
  </si>
  <si>
    <t>Sentencias</t>
  </si>
  <si>
    <t>Superintendencia Bancaria Ley 18 de 1988</t>
  </si>
  <si>
    <t>D</t>
  </si>
  <si>
    <t>7</t>
  </si>
  <si>
    <t>SERVICIO DE DEUDA INTERNA</t>
  </si>
  <si>
    <t>7-1</t>
  </si>
  <si>
    <t>Amortización - Entidades Financieras</t>
  </si>
  <si>
    <t>7-2</t>
  </si>
  <si>
    <t>Intereses    - Entidades Financieras</t>
  </si>
  <si>
    <t>I</t>
  </si>
  <si>
    <t>TOTAL GASTOS DE INVERSIÓN</t>
  </si>
  <si>
    <t>GASTOS DE INVERSIÓN - RECURSOS PROPIOS</t>
  </si>
  <si>
    <t>221</t>
  </si>
  <si>
    <t>Adquisición y/o Producción de Equipos, Materiales, Suministros y Servicios Administrativos</t>
  </si>
  <si>
    <t>700</t>
  </si>
  <si>
    <t>Implantación de Modernización y Actualización del ICETEX</t>
  </si>
  <si>
    <t>310</t>
  </si>
  <si>
    <t>Divulgación, Asistencia Técnica y Capacitación del Recurso Humano</t>
  </si>
  <si>
    <t>709</t>
  </si>
  <si>
    <t>Asistencia a través de Créditos Condonables para Artistas Colombianos</t>
  </si>
  <si>
    <t>610</t>
  </si>
  <si>
    <t>CRÉDITOS</t>
  </si>
  <si>
    <t>100</t>
  </si>
  <si>
    <t>Capacitación en idiomas para aspirantes a estudios de postgrado en el exterior</t>
  </si>
  <si>
    <t>705</t>
  </si>
  <si>
    <t>15</t>
  </si>
  <si>
    <t>Implantación de Crédito Educativo para Estudios de Pregrado en el País, Postgrado en el País y en el Exterior</t>
  </si>
  <si>
    <t>21</t>
  </si>
  <si>
    <t>Asistencia a través de Créditos Condonables de Reciprocidad para Extranjeros en Colombia</t>
  </si>
  <si>
    <t>APORTES DE LA NACIÓN</t>
  </si>
  <si>
    <t>GASTOS DE INVERSIÓN - APORTE NACIONAL</t>
  </si>
  <si>
    <t>300</t>
  </si>
  <si>
    <t>10</t>
  </si>
  <si>
    <t>Crédito educativo para sostenimiento dirigido a profesionales que cursen especializaciones en el area de la salud</t>
  </si>
  <si>
    <t>18</t>
  </si>
  <si>
    <t>Implantación apoyo a Mejores Bachilleres del País Art 99 Ley 115 de 1994</t>
  </si>
  <si>
    <t>19</t>
  </si>
  <si>
    <t>27</t>
  </si>
  <si>
    <t>Asistencia a Comunidades Indígenas a través del Fondo de Créditos Condonables Alvaro Ulcue</t>
  </si>
  <si>
    <t>28</t>
  </si>
  <si>
    <t>Asistencia a Comunidades Negras a través de Créditos Condonables para Estudio de Pregrado y Postgrado en el País</t>
  </si>
  <si>
    <t>RESUMEN</t>
  </si>
  <si>
    <t>TOTAL RECURSOS ADMINISTRADOS</t>
  </si>
  <si>
    <t>TOTAL APORTES DE LA NACIÓN</t>
  </si>
  <si>
    <t>TOTAL PRESUPUESTO DE GASTOS</t>
  </si>
  <si>
    <t>Sección: 2203</t>
  </si>
  <si>
    <t>PAC</t>
  </si>
  <si>
    <t>SALDO PAC</t>
  </si>
  <si>
    <t>NU AR</t>
  </si>
  <si>
    <t>ORDIN</t>
  </si>
  <si>
    <t>SUBOR</t>
  </si>
  <si>
    <t>DISTRI</t>
  </si>
  <si>
    <t>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</si>
  <si>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</si>
  <si>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</si>
  <si>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</si>
  <si>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</si>
  <si>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</si>
  <si>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</si>
  <si>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</si>
  <si>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</si>
  <si>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</si>
  <si>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</si>
  <si>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</si>
  <si>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</si>
  <si>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ADICION</t>
  </si>
  <si>
    <t>REDUCCION</t>
  </si>
  <si>
    <r>
      <t>(4=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2+3)</t>
    </r>
  </si>
  <si>
    <r>
      <t>(6=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5)</t>
    </r>
  </si>
  <si>
    <t>(7=6-4)</t>
  </si>
  <si>
    <t xml:space="preserve"> GASTOS DE FUNCIONAMIENTO</t>
  </si>
  <si>
    <t/>
  </si>
  <si>
    <t xml:space="preserve">  SERVICIOS PERSONALES</t>
  </si>
  <si>
    <t xml:space="preserve">  GASTOS GENERALES</t>
  </si>
  <si>
    <t xml:space="preserve">  TRANSFERENCIAS</t>
  </si>
  <si>
    <t xml:space="preserve">  SERVICIO DE LA DEUDA</t>
  </si>
  <si>
    <t xml:space="preserve"> GASTOS DE INVERSION</t>
  </si>
  <si>
    <t>TOTAL GASTOS RECURSOS ADMINISTRADOS</t>
  </si>
  <si>
    <t>RECURSOS DE LA NACION</t>
  </si>
  <si>
    <t>CONTRALORIA DELEGADA PARA EL SECTOR SOCIAL</t>
  </si>
  <si>
    <t>DIRECCION DE VIGILANCIA FISCAL</t>
  </si>
  <si>
    <t>ENTIDAD:  2203  ICETEX</t>
  </si>
  <si>
    <t>MESES</t>
  </si>
  <si>
    <t>ADQUISICION DE BIENES Y SERVICIOS</t>
  </si>
  <si>
    <t>VIATICOS Y GASTOS DE VIAJE</t>
  </si>
  <si>
    <t xml:space="preserve"> GASTOS DE PUBLICIDAD</t>
  </si>
  <si>
    <t>GASTOS DE PERSONAL</t>
  </si>
  <si>
    <t>OBSERVACIONES</t>
  </si>
  <si>
    <t xml:space="preserve">Enero </t>
  </si>
  <si>
    <t xml:space="preserve">TOTAL </t>
  </si>
  <si>
    <t>COMPROMISOS  / CUMPLIMIENTO LEY 617/2000</t>
  </si>
  <si>
    <t>Programa de Modernización del Estado</t>
  </si>
  <si>
    <t>Provisión para ajuste por incremento salarial. Distribución previo concepto D.G.P.N.</t>
  </si>
  <si>
    <t>16</t>
  </si>
  <si>
    <t>30</t>
  </si>
  <si>
    <t>Implantación Crédito Educativo Pregrado y Postgrado País para Reservistas de Honor</t>
  </si>
  <si>
    <t>Sección Principal: 22    Ministerio de Educación Nacional</t>
  </si>
  <si>
    <t>Sección: 2203-00 ICETEX</t>
  </si>
  <si>
    <t>RESERVAS PRESUPUESTALES Y CUENTAS POR PAGAR 2001</t>
  </si>
  <si>
    <t>VIGENCIA  2002</t>
  </si>
  <si>
    <t xml:space="preserve"> 2203 Icetex</t>
  </si>
  <si>
    <t>AÑO:2002</t>
  </si>
  <si>
    <t>26</t>
  </si>
  <si>
    <t>CANCELACIONES</t>
  </si>
  <si>
    <t>INGRESOS</t>
  </si>
  <si>
    <t>GASTOS</t>
  </si>
  <si>
    <t>Implantación de Modernización  y Actulización del ICETEX</t>
  </si>
  <si>
    <t>Diferencial Cambiario</t>
  </si>
  <si>
    <t>Aporte Nacional</t>
  </si>
  <si>
    <t>Rendimiento Inversiones Financieras</t>
  </si>
  <si>
    <t>Otros Ingresos</t>
  </si>
  <si>
    <t xml:space="preserve">Venta de Bienes y Servicios </t>
  </si>
  <si>
    <t>PRESPUESTO INCIAL</t>
  </si>
  <si>
    <t>PRESUPUESTO DEFINITIVO</t>
  </si>
  <si>
    <t>RECAUDO ENERO</t>
  </si>
  <si>
    <t>RECUADO JULIO</t>
  </si>
  <si>
    <t>RECAUDO SEPTIEMBRE</t>
  </si>
  <si>
    <t>RECUADO OCTUBRE</t>
  </si>
  <si>
    <t>RECUADO NOVIEMBRE</t>
  </si>
  <si>
    <t xml:space="preserve">RECAUDO DICIEMBRE </t>
  </si>
  <si>
    <t xml:space="preserve">COMPROMISOS ENERO </t>
  </si>
  <si>
    <t>COMPROMISOS FEBRERO</t>
  </si>
  <si>
    <t>COMPROMISOS MARZO</t>
  </si>
  <si>
    <t>COMPROMISOS ABRIL</t>
  </si>
  <si>
    <t>COMPROMISOS MAYO</t>
  </si>
  <si>
    <t>COMPROMISOS JUNIO</t>
  </si>
  <si>
    <t>COMPROMISOS JULIO</t>
  </si>
  <si>
    <t>COMPROMISOS AGOSTO</t>
  </si>
  <si>
    <t>COMPROMISOS SEPTIEMBRE</t>
  </si>
  <si>
    <t>COMPROMISOS OCTUBRE</t>
  </si>
  <si>
    <t>COMPROMISOS NOVIEMBRE</t>
  </si>
  <si>
    <t>COMPROMISOS DICIEMBRE</t>
  </si>
  <si>
    <t>RECAUDO ACUMULADO</t>
  </si>
  <si>
    <t xml:space="preserve">Crédito a nivel nacional a traves del sector financiero, Convenio ICETEX - Fondo Nacional de Garantías </t>
  </si>
  <si>
    <t>Crédito a nivel nacional a traves del sector financiero, Convenio ICETEX - Fondo Nacional de Garantías.</t>
  </si>
  <si>
    <t>GIROS ENERO</t>
  </si>
  <si>
    <t>GIROS FEBRERO</t>
  </si>
  <si>
    <t>GIROS MARZO</t>
  </si>
  <si>
    <t xml:space="preserve">GIROS ABRIL </t>
  </si>
  <si>
    <t>GIROS MAYO</t>
  </si>
  <si>
    <t>GIROS JUNIO</t>
  </si>
  <si>
    <t>GIROS JULIO</t>
  </si>
  <si>
    <t>GIROS AGOSTO</t>
  </si>
  <si>
    <t>GIROS SEPTIEMBRE</t>
  </si>
  <si>
    <t>GIROS OCTUBRE</t>
  </si>
  <si>
    <t>GIROS NOVIEMBRE</t>
  </si>
  <si>
    <t>GIROS ACUMULADOS</t>
  </si>
  <si>
    <t>GIROS DICIEMBRE</t>
  </si>
  <si>
    <t>RECAUDO FEBRERO</t>
  </si>
  <si>
    <t>RECAUDO MARZO</t>
  </si>
  <si>
    <t>RECAUDO ABRIL</t>
  </si>
  <si>
    <t>RECAUDO MAYO</t>
  </si>
  <si>
    <t>RECAUDO JUNIO</t>
  </si>
  <si>
    <t>00-1</t>
  </si>
  <si>
    <t>00-2</t>
  </si>
  <si>
    <t>00-3</t>
  </si>
  <si>
    <t>221-700-003</t>
  </si>
  <si>
    <t>00-610</t>
  </si>
  <si>
    <t>00-610-705-2</t>
  </si>
  <si>
    <t>00-610-705-15</t>
  </si>
  <si>
    <t>00-610-705-30</t>
  </si>
  <si>
    <t>00-610-300</t>
  </si>
  <si>
    <t>Crédito Educativo para sostenimiento dirigido a profesionales que cursen especializaciones en el area de salud</t>
  </si>
  <si>
    <t>00-610-700-1</t>
  </si>
  <si>
    <t>00-610-705-16</t>
  </si>
  <si>
    <t>00-610-705-19</t>
  </si>
  <si>
    <t>00-610-705-27</t>
  </si>
  <si>
    <t>00-610-705-28</t>
  </si>
  <si>
    <t xml:space="preserve">NIVEL </t>
  </si>
  <si>
    <t>COMPROMISOS ACUMULADOS</t>
  </si>
  <si>
    <t>TOTAL RECURSOS PROPIOS menos NACION</t>
  </si>
  <si>
    <t>TOTAL GASTOS DE INVERSION</t>
  </si>
  <si>
    <t>TOTAL CREDITOS</t>
  </si>
  <si>
    <t>Crédito a nivel nacional a traves del sector financiero, Convenio ICETEX - Fondo Nacional de Garantías</t>
  </si>
  <si>
    <t>2002</t>
  </si>
  <si>
    <t>Excedentes financieros a transferir a la Nación</t>
  </si>
  <si>
    <t>RECAUDO AGOSTO</t>
  </si>
  <si>
    <t>MES: DICIEMBRE DE 2002</t>
  </si>
  <si>
    <t>=LC(7)-LC(1)-LC(2)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</si>
</sst>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;;"/>
    <numFmt numFmtId="179" formatCode="dd\-mmm\-yy_)"/>
    <numFmt numFmtId="180" formatCode="dd\-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Courier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Symbol"/>
      <family val="1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>
      <alignment/>
      <protection locked="0"/>
    </xf>
    <xf numFmtId="178" fontId="4" fillId="0" borderId="0">
      <alignment/>
      <protection locked="0"/>
    </xf>
    <xf numFmtId="178" fontId="5" fillId="0" borderId="0">
      <alignment/>
      <protection locked="0"/>
    </xf>
    <xf numFmtId="178" fontId="4" fillId="0" borderId="0">
      <alignment/>
      <protection locked="0"/>
    </xf>
    <xf numFmtId="178" fontId="4" fillId="0" borderId="0">
      <alignment/>
      <protection locked="0"/>
    </xf>
    <xf numFmtId="178" fontId="4" fillId="0" borderId="0">
      <alignment/>
      <protection locked="0"/>
    </xf>
    <xf numFmtId="178" fontId="5" fillId="0" borderId="0">
      <alignment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37" fontId="7" fillId="2" borderId="1" xfId="30" applyFont="1" applyFill="1" applyBorder="1" applyAlignment="1" applyProtection="1">
      <alignment horizontal="center" vertical="center"/>
      <protection locked="0"/>
    </xf>
    <xf numFmtId="37" fontId="7" fillId="2" borderId="2" xfId="30" applyFont="1" applyFill="1" applyBorder="1" applyAlignment="1" applyProtection="1">
      <alignment horizontal="center" vertical="center"/>
      <protection locked="0"/>
    </xf>
    <xf numFmtId="37" fontId="0" fillId="0" borderId="0" xfId="29" applyFont="1" applyFill="1" applyBorder="1" applyAlignment="1">
      <alignment vertical="center"/>
      <protection/>
    </xf>
    <xf numFmtId="37" fontId="9" fillId="0" borderId="3" xfId="29" applyFont="1" applyFill="1" applyBorder="1" applyAlignment="1" applyProtection="1">
      <alignment horizontal="centerContinuous" vertical="center"/>
      <protection/>
    </xf>
    <xf numFmtId="37" fontId="1" fillId="0" borderId="4" xfId="29" applyFont="1" applyFill="1" applyBorder="1" applyAlignment="1">
      <alignment horizontal="centerContinuous" vertical="center"/>
      <protection/>
    </xf>
    <xf numFmtId="37" fontId="1" fillId="0" borderId="5" xfId="29" applyFont="1" applyFill="1" applyBorder="1" applyAlignment="1">
      <alignment horizontal="centerContinuous" vertical="center"/>
      <protection/>
    </xf>
    <xf numFmtId="37" fontId="7" fillId="0" borderId="3" xfId="29" applyFont="1" applyFill="1" applyBorder="1" applyAlignment="1" applyProtection="1">
      <alignment vertical="center"/>
      <protection/>
    </xf>
    <xf numFmtId="37" fontId="1" fillId="0" borderId="4" xfId="29" applyFont="1" applyFill="1" applyBorder="1" applyAlignment="1" applyProtection="1">
      <alignment horizontal="left" vertical="center"/>
      <protection/>
    </xf>
    <xf numFmtId="37" fontId="7" fillId="0" borderId="4" xfId="29" applyFont="1" applyFill="1" applyBorder="1" applyAlignment="1" applyProtection="1">
      <alignment vertical="center"/>
      <protection/>
    </xf>
    <xf numFmtId="37" fontId="7" fillId="0" borderId="0" xfId="29" applyFont="1" applyFill="1" applyBorder="1" applyAlignment="1">
      <alignment vertical="center"/>
      <protection/>
    </xf>
    <xf numFmtId="37" fontId="7" fillId="0" borderId="6" xfId="29" applyFont="1" applyFill="1" applyBorder="1" applyAlignment="1" applyProtection="1">
      <alignment horizontal="center" vertical="center"/>
      <protection/>
    </xf>
    <xf numFmtId="37" fontId="7" fillId="0" borderId="7" xfId="29" applyFont="1" applyFill="1" applyBorder="1" applyAlignment="1" applyProtection="1">
      <alignment vertical="center"/>
      <protection/>
    </xf>
    <xf numFmtId="37" fontId="7" fillId="0" borderId="8" xfId="29" applyFont="1" applyFill="1" applyBorder="1" applyAlignment="1" applyProtection="1">
      <alignment vertical="center"/>
      <protection/>
    </xf>
    <xf numFmtId="37" fontId="7" fillId="0" borderId="7" xfId="29" applyFont="1" applyFill="1" applyBorder="1" applyAlignment="1" applyProtection="1">
      <alignment vertical="center"/>
      <protection locked="0"/>
    </xf>
    <xf numFmtId="37" fontId="10" fillId="0" borderId="7" xfId="29" applyFont="1" applyFill="1" applyBorder="1" applyAlignment="1" applyProtection="1">
      <alignment vertical="center"/>
      <protection locked="0"/>
    </xf>
    <xf numFmtId="37" fontId="7" fillId="0" borderId="9" xfId="29" applyFont="1" applyFill="1" applyBorder="1" applyAlignment="1" applyProtection="1">
      <alignment vertical="center"/>
      <protection/>
    </xf>
    <xf numFmtId="37" fontId="7" fillId="0" borderId="10" xfId="29" applyFont="1" applyFill="1" applyBorder="1" applyAlignment="1" applyProtection="1">
      <alignment vertical="center"/>
      <protection/>
    </xf>
    <xf numFmtId="37" fontId="7" fillId="0" borderId="5" xfId="29" applyFont="1" applyFill="1" applyBorder="1" applyAlignment="1" applyProtection="1">
      <alignment horizontal="right" vertical="center"/>
      <protection/>
    </xf>
    <xf numFmtId="37" fontId="9" fillId="0" borderId="9" xfId="29" applyFont="1" applyFill="1" applyBorder="1" applyAlignment="1" applyProtection="1">
      <alignment vertical="center"/>
      <protection/>
    </xf>
    <xf numFmtId="37" fontId="9" fillId="0" borderId="10" xfId="29" applyFont="1" applyFill="1" applyBorder="1" applyAlignment="1" applyProtection="1">
      <alignment vertical="center"/>
      <protection/>
    </xf>
    <xf numFmtId="37" fontId="7" fillId="0" borderId="11" xfId="29" applyFont="1" applyFill="1" applyBorder="1" applyAlignment="1" applyProtection="1">
      <alignment horizontal="center" vertical="center"/>
      <protection/>
    </xf>
    <xf numFmtId="37" fontId="10" fillId="0" borderId="9" xfId="29" applyFont="1" applyFill="1" applyBorder="1" applyAlignment="1" applyProtection="1">
      <alignment vertical="center"/>
      <protection locked="0"/>
    </xf>
    <xf numFmtId="37" fontId="9" fillId="0" borderId="7" xfId="29" applyFont="1" applyFill="1" applyBorder="1" applyAlignment="1" applyProtection="1">
      <alignment vertical="center"/>
      <protection/>
    </xf>
    <xf numFmtId="37" fontId="9" fillId="3" borderId="12" xfId="29" applyFont="1" applyFill="1" applyBorder="1" applyAlignment="1" applyProtection="1">
      <alignment vertical="center"/>
      <protection/>
    </xf>
    <xf numFmtId="37" fontId="9" fillId="4" borderId="13" xfId="29" applyFont="1" applyFill="1" applyBorder="1" applyAlignment="1" applyProtection="1">
      <alignment vertical="center"/>
      <protection/>
    </xf>
    <xf numFmtId="37" fontId="9" fillId="4" borderId="14" xfId="29" applyFont="1" applyFill="1" applyBorder="1" applyAlignment="1" applyProtection="1">
      <alignment vertical="center"/>
      <protection/>
    </xf>
    <xf numFmtId="37" fontId="9" fillId="0" borderId="15" xfId="29" applyFont="1" applyFill="1" applyBorder="1" applyAlignment="1" applyProtection="1">
      <alignment horizontal="centerContinuous" vertical="center"/>
      <protection/>
    </xf>
    <xf numFmtId="37" fontId="1" fillId="0" borderId="16" xfId="29" applyFont="1" applyFill="1" applyBorder="1" applyAlignment="1">
      <alignment horizontal="centerContinuous" vertical="center"/>
      <protection/>
    </xf>
    <xf numFmtId="37" fontId="1" fillId="0" borderId="17" xfId="29" applyFont="1" applyFill="1" applyBorder="1" applyAlignment="1">
      <alignment horizontal="centerContinuous" vertical="center"/>
      <protection/>
    </xf>
    <xf numFmtId="37" fontId="7" fillId="0" borderId="15" xfId="29" applyFont="1" applyFill="1" applyBorder="1" applyAlignment="1" applyProtection="1">
      <alignment vertical="center"/>
      <protection/>
    </xf>
    <xf numFmtId="37" fontId="0" fillId="0" borderId="16" xfId="29" applyFont="1" applyFill="1" applyBorder="1" applyAlignment="1" applyProtection="1">
      <alignment horizontal="left" vertical="center"/>
      <protection/>
    </xf>
    <xf numFmtId="37" fontId="7" fillId="0" borderId="16" xfId="29" applyFont="1" applyFill="1" applyBorder="1" applyAlignment="1" applyProtection="1">
      <alignment vertical="center"/>
      <protection/>
    </xf>
    <xf numFmtId="37" fontId="7" fillId="0" borderId="17" xfId="29" applyFont="1" applyFill="1" applyBorder="1" applyAlignment="1" applyProtection="1">
      <alignment horizontal="right" vertical="center"/>
      <protection/>
    </xf>
    <xf numFmtId="37" fontId="9" fillId="3" borderId="18" xfId="29" applyFont="1" applyFill="1" applyBorder="1" applyAlignment="1" applyProtection="1">
      <alignment horizontal="center" vertical="center"/>
      <protection/>
    </xf>
    <xf numFmtId="37" fontId="9" fillId="3" borderId="19" xfId="29" applyFont="1" applyFill="1" applyBorder="1" applyAlignment="1" applyProtection="1">
      <alignment vertical="center"/>
      <protection/>
    </xf>
    <xf numFmtId="37" fontId="7" fillId="0" borderId="0" xfId="28" applyFont="1" applyFill="1" applyBorder="1" applyAlignment="1" applyProtection="1">
      <alignment vertical="center"/>
      <protection/>
    </xf>
    <xf numFmtId="49" fontId="9" fillId="0" borderId="0" xfId="28" applyNumberFormat="1" applyFont="1" applyFill="1" applyBorder="1" applyAlignment="1" applyProtection="1">
      <alignment horizontal="center" vertical="center"/>
      <protection/>
    </xf>
    <xf numFmtId="49" fontId="7" fillId="0" borderId="0" xfId="28" applyNumberFormat="1" applyFont="1" applyFill="1" applyBorder="1" applyAlignment="1" applyProtection="1">
      <alignment horizontal="center" vertical="center"/>
      <protection/>
    </xf>
    <xf numFmtId="37" fontId="7" fillId="0" borderId="0" xfId="28" applyFont="1" applyFill="1" applyBorder="1" applyAlignment="1" applyProtection="1">
      <alignment vertical="center" wrapText="1"/>
      <protection/>
    </xf>
    <xf numFmtId="37" fontId="7" fillId="0" borderId="0" xfId="28" applyFont="1" applyFill="1" applyBorder="1" applyAlignment="1" applyProtection="1">
      <alignment vertical="center"/>
      <protection locked="0"/>
    </xf>
    <xf numFmtId="37" fontId="7" fillId="3" borderId="20" xfId="29" applyFont="1" applyFill="1" applyBorder="1" applyAlignment="1" applyProtection="1">
      <alignment horizontal="center" vertical="center"/>
      <protection/>
    </xf>
    <xf numFmtId="37" fontId="7" fillId="3" borderId="21" xfId="29" applyFont="1" applyFill="1" applyBorder="1" applyAlignment="1" applyProtection="1">
      <alignment vertical="center"/>
      <protection/>
    </xf>
    <xf numFmtId="37" fontId="7" fillId="3" borderId="22" xfId="29" applyFont="1" applyFill="1" applyBorder="1" applyAlignment="1" applyProtection="1">
      <alignment vertical="center"/>
      <protection/>
    </xf>
    <xf numFmtId="37" fontId="11" fillId="5" borderId="23" xfId="29" applyFont="1" applyFill="1" applyBorder="1" applyAlignment="1">
      <alignment horizontal="center" vertical="center"/>
      <protection/>
    </xf>
    <xf numFmtId="37" fontId="11" fillId="5" borderId="24" xfId="29" applyFont="1" applyFill="1" applyBorder="1" applyAlignment="1">
      <alignment horizontal="center" vertical="center"/>
      <protection/>
    </xf>
    <xf numFmtId="37" fontId="11" fillId="5" borderId="24" xfId="29" applyFont="1" applyFill="1" applyBorder="1" applyAlignment="1" applyProtection="1">
      <alignment horizontal="center" vertical="center"/>
      <protection/>
    </xf>
    <xf numFmtId="37" fontId="11" fillId="5" borderId="25" xfId="29" applyFont="1" applyFill="1" applyBorder="1" applyAlignment="1" applyProtection="1">
      <alignment horizontal="center" vertical="center"/>
      <protection/>
    </xf>
    <xf numFmtId="37" fontId="11" fillId="5" borderId="6" xfId="29" applyFont="1" applyFill="1" applyBorder="1" applyAlignment="1" applyProtection="1">
      <alignment horizontal="center" vertical="center"/>
      <protection/>
    </xf>
    <xf numFmtId="37" fontId="11" fillId="5" borderId="7" xfId="29" applyFont="1" applyFill="1" applyBorder="1" applyAlignment="1" applyProtection="1">
      <alignment horizontal="center" vertical="center"/>
      <protection/>
    </xf>
    <xf numFmtId="37" fontId="11" fillId="5" borderId="8" xfId="29" applyFont="1" applyFill="1" applyBorder="1" applyAlignment="1">
      <alignment horizontal="center" vertical="center"/>
      <protection/>
    </xf>
    <xf numFmtId="37" fontId="11" fillId="5" borderId="11" xfId="29" applyFont="1" applyFill="1" applyBorder="1" applyAlignment="1">
      <alignment horizontal="center" vertical="center"/>
      <protection/>
    </xf>
    <xf numFmtId="37" fontId="11" fillId="5" borderId="9" xfId="29" applyFont="1" applyFill="1" applyBorder="1" applyAlignment="1">
      <alignment horizontal="center" vertical="center"/>
      <protection/>
    </xf>
    <xf numFmtId="49" fontId="11" fillId="5" borderId="9" xfId="29" applyNumberFormat="1" applyFont="1" applyFill="1" applyBorder="1" applyAlignment="1" applyProtection="1">
      <alignment horizontal="center" vertical="center"/>
      <protection/>
    </xf>
    <xf numFmtId="49" fontId="11" fillId="5" borderId="10" xfId="29" applyNumberFormat="1" applyFont="1" applyFill="1" applyBorder="1" applyAlignment="1" applyProtection="1">
      <alignment horizontal="center" vertical="center"/>
      <protection/>
    </xf>
    <xf numFmtId="37" fontId="9" fillId="4" borderId="26" xfId="29" applyFont="1" applyFill="1" applyBorder="1" applyAlignment="1" applyProtection="1">
      <alignment horizontal="center" vertical="center"/>
      <protection/>
    </xf>
    <xf numFmtId="37" fontId="9" fillId="4" borderId="27" xfId="29" applyFont="1" applyFill="1" applyBorder="1" applyAlignment="1" applyProtection="1">
      <alignment vertical="center"/>
      <protection/>
    </xf>
    <xf numFmtId="37" fontId="9" fillId="4" borderId="28" xfId="29" applyFont="1" applyFill="1" applyBorder="1" applyAlignment="1" applyProtection="1">
      <alignment vertical="center"/>
      <protection/>
    </xf>
    <xf numFmtId="37" fontId="7" fillId="2" borderId="15" xfId="29" applyFont="1" applyFill="1" applyBorder="1" applyAlignment="1" applyProtection="1">
      <alignment vertical="center"/>
      <protection/>
    </xf>
    <xf numFmtId="37" fontId="0" fillId="2" borderId="16" xfId="29" applyFont="1" applyFill="1" applyBorder="1" applyAlignment="1" applyProtection="1">
      <alignment horizontal="left" vertical="center"/>
      <protection/>
    </xf>
    <xf numFmtId="37" fontId="7" fillId="2" borderId="16" xfId="29" applyFont="1" applyFill="1" applyBorder="1" applyAlignment="1" applyProtection="1">
      <alignment vertical="center"/>
      <protection/>
    </xf>
    <xf numFmtId="37" fontId="7" fillId="2" borderId="3" xfId="29" applyFont="1" applyFill="1" applyBorder="1" applyAlignment="1" applyProtection="1">
      <alignment vertical="center"/>
      <protection/>
    </xf>
    <xf numFmtId="37" fontId="1" fillId="2" borderId="4" xfId="29" applyFont="1" applyFill="1" applyBorder="1" applyAlignment="1" applyProtection="1">
      <alignment horizontal="left" vertical="center"/>
      <protection/>
    </xf>
    <xf numFmtId="37" fontId="7" fillId="2" borderId="4" xfId="29" applyFont="1" applyFill="1" applyBorder="1" applyAlignment="1" applyProtection="1">
      <alignment vertical="center"/>
      <protection/>
    </xf>
    <xf numFmtId="37" fontId="11" fillId="5" borderId="13" xfId="29" applyFont="1" applyFill="1" applyBorder="1" applyAlignment="1" applyProtection="1">
      <alignment horizontal="centerContinuous" vertical="center"/>
      <protection/>
    </xf>
    <xf numFmtId="37" fontId="11" fillId="5" borderId="25" xfId="29" applyFont="1" applyFill="1" applyBorder="1" applyAlignment="1">
      <alignment horizontal="center" vertical="center"/>
      <protection/>
    </xf>
    <xf numFmtId="37" fontId="8" fillId="5" borderId="8" xfId="29" applyFont="1" applyFill="1" applyBorder="1" applyAlignment="1" applyProtection="1">
      <alignment horizontal="center" vertical="center" wrapText="1"/>
      <protection/>
    </xf>
    <xf numFmtId="37" fontId="11" fillId="5" borderId="10" xfId="29" applyFont="1" applyFill="1" applyBorder="1" applyAlignment="1">
      <alignment horizontal="center" vertical="center"/>
      <protection/>
    </xf>
    <xf numFmtId="37" fontId="11" fillId="5" borderId="23" xfId="29" applyFont="1" applyFill="1" applyBorder="1" applyAlignment="1" applyProtection="1">
      <alignment horizontal="center" vertical="center"/>
      <protection/>
    </xf>
    <xf numFmtId="37" fontId="11" fillId="5" borderId="8" xfId="29" applyFont="1" applyFill="1" applyBorder="1" applyAlignment="1" applyProtection="1">
      <alignment horizontal="center" vertical="center"/>
      <protection/>
    </xf>
    <xf numFmtId="49" fontId="11" fillId="5" borderId="11" xfId="29" applyNumberFormat="1" applyFont="1" applyFill="1" applyBorder="1" applyAlignment="1" applyProtection="1">
      <alignment horizontal="center" vertical="center"/>
      <protection/>
    </xf>
    <xf numFmtId="37" fontId="9" fillId="4" borderId="26" xfId="29" applyFont="1" applyFill="1" applyBorder="1" applyAlignment="1" applyProtection="1">
      <alignment vertical="center"/>
      <protection/>
    </xf>
    <xf numFmtId="37" fontId="7" fillId="3" borderId="20" xfId="29" applyFont="1" applyFill="1" applyBorder="1" applyAlignment="1" applyProtection="1">
      <alignment vertical="center"/>
      <protection/>
    </xf>
    <xf numFmtId="37" fontId="9" fillId="3" borderId="22" xfId="29" applyFont="1" applyFill="1" applyBorder="1" applyAlignment="1" applyProtection="1">
      <alignment vertical="center"/>
      <protection/>
    </xf>
    <xf numFmtId="37" fontId="7" fillId="0" borderId="6" xfId="29" applyFont="1" applyFill="1" applyBorder="1" applyAlignment="1" applyProtection="1">
      <alignment vertical="center"/>
      <protection/>
    </xf>
    <xf numFmtId="37" fontId="9" fillId="0" borderId="8" xfId="29" applyFont="1" applyFill="1" applyBorder="1" applyAlignment="1" applyProtection="1">
      <alignment vertical="center"/>
      <protection/>
    </xf>
    <xf numFmtId="37" fontId="7" fillId="0" borderId="6" xfId="29" applyFont="1" applyFill="1" applyBorder="1" applyAlignment="1" applyProtection="1">
      <alignment vertical="center"/>
      <protection locked="0"/>
    </xf>
    <xf numFmtId="37" fontId="9" fillId="3" borderId="18" xfId="29" applyFont="1" applyFill="1" applyBorder="1" applyAlignment="1" applyProtection="1">
      <alignment vertical="center"/>
      <protection/>
    </xf>
    <xf numFmtId="37" fontId="7" fillId="0" borderId="11" xfId="29" applyFont="1" applyFill="1" applyBorder="1" applyAlignment="1" applyProtection="1">
      <alignment vertical="center"/>
      <protection locked="0"/>
    </xf>
    <xf numFmtId="37" fontId="10" fillId="0" borderId="6" xfId="29" applyFont="1" applyFill="1" applyBorder="1" applyAlignment="1" applyProtection="1">
      <alignment vertical="center"/>
      <protection locked="0"/>
    </xf>
    <xf numFmtId="37" fontId="10" fillId="0" borderId="11" xfId="29" applyFont="1" applyFill="1" applyBorder="1" applyAlignment="1" applyProtection="1">
      <alignment vertical="center"/>
      <protection locked="0"/>
    </xf>
    <xf numFmtId="37" fontId="9" fillId="4" borderId="29" xfId="29" applyFont="1" applyFill="1" applyBorder="1" applyAlignment="1" applyProtection="1">
      <alignment vertical="center"/>
      <protection/>
    </xf>
    <xf numFmtId="37" fontId="9" fillId="0" borderId="8" xfId="29" applyFont="1" applyFill="1" applyBorder="1" applyAlignment="1" applyProtection="1">
      <alignment vertical="center"/>
      <protection locked="0"/>
    </xf>
    <xf numFmtId="37" fontId="9" fillId="3" borderId="19" xfId="29" applyFont="1" applyFill="1" applyBorder="1" applyAlignment="1" applyProtection="1">
      <alignment vertical="center"/>
      <protection locked="0"/>
    </xf>
    <xf numFmtId="37" fontId="9" fillId="0" borderId="10" xfId="29" applyFont="1" applyFill="1" applyBorder="1" applyAlignment="1" applyProtection="1">
      <alignment vertical="center"/>
      <protection locked="0"/>
    </xf>
    <xf numFmtId="37" fontId="9" fillId="4" borderId="28" xfId="29" applyFont="1" applyFill="1" applyBorder="1" applyAlignment="1" applyProtection="1">
      <alignment vertical="center"/>
      <protection locked="0"/>
    </xf>
    <xf numFmtId="37" fontId="7" fillId="2" borderId="17" xfId="29" applyFont="1" applyFill="1" applyBorder="1" applyAlignment="1" applyProtection="1">
      <alignment horizontal="right" vertical="center"/>
      <protection/>
    </xf>
    <xf numFmtId="37" fontId="7" fillId="2" borderId="5" xfId="29" applyFont="1" applyFill="1" applyBorder="1" applyAlignment="1" applyProtection="1">
      <alignment horizontal="right" vertical="center"/>
      <protection/>
    </xf>
    <xf numFmtId="37" fontId="9" fillId="0" borderId="23" xfId="29" applyFont="1" applyFill="1" applyBorder="1" applyAlignment="1">
      <alignment horizontal="center" vertical="center"/>
      <protection/>
    </xf>
    <xf numFmtId="37" fontId="9" fillId="0" borderId="30" xfId="29" applyFont="1" applyFill="1" applyBorder="1" applyAlignment="1">
      <alignment horizontal="center" vertical="center"/>
      <protection/>
    </xf>
    <xf numFmtId="49" fontId="9" fillId="0" borderId="11" xfId="29" applyNumberFormat="1" applyFont="1" applyFill="1" applyBorder="1" applyAlignment="1">
      <alignment horizontal="center" vertical="center"/>
      <protection/>
    </xf>
    <xf numFmtId="49" fontId="9" fillId="0" borderId="31" xfId="29" applyNumberFormat="1" applyFont="1" applyFill="1" applyBorder="1" applyAlignment="1">
      <alignment horizontal="center" vertical="center"/>
      <protection/>
    </xf>
    <xf numFmtId="49" fontId="9" fillId="0" borderId="15" xfId="28" applyNumberFormat="1" applyFont="1" applyFill="1" applyBorder="1" applyAlignment="1" applyProtection="1">
      <alignment horizontal="centerContinuous" vertical="center"/>
      <protection/>
    </xf>
    <xf numFmtId="37" fontId="7" fillId="0" borderId="17" xfId="28" applyFont="1" applyFill="1" applyBorder="1" applyAlignment="1" applyProtection="1">
      <alignment horizontal="centerContinuous" vertical="center" wrapText="1"/>
      <protection/>
    </xf>
    <xf numFmtId="49" fontId="9" fillId="0" borderId="3" xfId="28" applyNumberFormat="1" applyFont="1" applyFill="1" applyBorder="1" applyAlignment="1" applyProtection="1">
      <alignment horizontal="centerContinuous" vertical="center"/>
      <protection/>
    </xf>
    <xf numFmtId="37" fontId="7" fillId="0" borderId="5" xfId="28" applyFont="1" applyFill="1" applyBorder="1" applyAlignment="1" applyProtection="1">
      <alignment horizontal="centerContinuous" vertical="center" wrapText="1"/>
      <protection/>
    </xf>
    <xf numFmtId="37" fontId="7" fillId="0" borderId="17" xfId="28" applyFont="1" applyFill="1" applyBorder="1" applyAlignment="1" applyProtection="1">
      <alignment horizontal="right" vertical="center"/>
      <protection/>
    </xf>
    <xf numFmtId="37" fontId="7" fillId="0" borderId="5" xfId="28" applyFont="1" applyFill="1" applyBorder="1" applyAlignment="1" applyProtection="1">
      <alignment horizontal="right" vertical="center"/>
      <protection/>
    </xf>
    <xf numFmtId="37" fontId="0" fillId="0" borderId="0" xfId="28" applyFont="1" applyFill="1" applyBorder="1" applyAlignment="1" applyProtection="1">
      <alignment vertical="center"/>
      <protection/>
    </xf>
    <xf numFmtId="37" fontId="1" fillId="0" borderId="0" xfId="28" applyFont="1" applyFill="1" applyBorder="1" applyAlignment="1" applyProtection="1">
      <alignment horizontal="centerContinuous" vertical="center"/>
      <protection/>
    </xf>
    <xf numFmtId="49" fontId="1" fillId="0" borderId="0" xfId="28" applyNumberFormat="1" applyFont="1" applyFill="1" applyBorder="1" applyAlignment="1" applyProtection="1">
      <alignment horizontal="centerContinuous" vertical="center"/>
      <protection/>
    </xf>
    <xf numFmtId="49" fontId="0" fillId="0" borderId="0" xfId="28" applyNumberFormat="1" applyFont="1" applyFill="1" applyBorder="1" applyAlignment="1" applyProtection="1">
      <alignment horizontal="center" vertical="center"/>
      <protection/>
    </xf>
    <xf numFmtId="37" fontId="1" fillId="0" borderId="0" xfId="28" applyFont="1" applyFill="1" applyBorder="1" applyAlignment="1" applyProtection="1">
      <alignment vertical="center"/>
      <protection/>
    </xf>
    <xf numFmtId="37" fontId="0" fillId="0" borderId="0" xfId="28" applyFont="1" applyFill="1" applyBorder="1" applyAlignment="1" applyProtection="1">
      <alignment vertical="center" wrapText="1"/>
      <protection/>
    </xf>
    <xf numFmtId="37" fontId="0" fillId="0" borderId="0" xfId="28" applyFont="1" applyFill="1" applyBorder="1" applyAlignment="1" applyProtection="1">
      <alignment vertical="center"/>
      <protection locked="0"/>
    </xf>
    <xf numFmtId="37" fontId="1" fillId="0" borderId="0" xfId="28" applyFont="1" applyFill="1" applyBorder="1" applyAlignment="1" applyProtection="1">
      <alignment horizontal="centerContinuous" vertical="center" wrapText="1"/>
      <protection/>
    </xf>
    <xf numFmtId="37" fontId="1" fillId="0" borderId="0" xfId="28" applyFont="1" applyFill="1" applyBorder="1" applyAlignment="1" applyProtection="1">
      <alignment horizontal="centerContinuous" vertical="center"/>
      <protection locked="0"/>
    </xf>
    <xf numFmtId="49" fontId="1" fillId="0" borderId="16" xfId="28" applyNumberFormat="1" applyFont="1" applyFill="1" applyBorder="1" applyAlignment="1" applyProtection="1">
      <alignment horizontal="centerContinuous" vertical="center"/>
      <protection/>
    </xf>
    <xf numFmtId="49" fontId="1" fillId="0" borderId="4" xfId="28" applyNumberFormat="1" applyFont="1" applyFill="1" applyBorder="1" applyAlignment="1" applyProtection="1">
      <alignment horizontal="centerContinuous" vertical="center"/>
      <protection/>
    </xf>
    <xf numFmtId="37" fontId="0" fillId="0" borderId="15" xfId="28" applyFont="1" applyFill="1" applyBorder="1" applyAlignment="1" applyProtection="1">
      <alignment horizontal="left" vertical="center"/>
      <protection/>
    </xf>
    <xf numFmtId="37" fontId="0" fillId="0" borderId="16" xfId="28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/>
    </xf>
    <xf numFmtId="37" fontId="0" fillId="0" borderId="3" xfId="28" applyFont="1" applyFill="1" applyBorder="1" applyAlignment="1" applyProtection="1">
      <alignment horizontal="left" vertical="center"/>
      <protection/>
    </xf>
    <xf numFmtId="37" fontId="0" fillId="0" borderId="4" xfId="28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37" fontId="0" fillId="0" borderId="4" xfId="28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/>
    </xf>
    <xf numFmtId="37" fontId="9" fillId="0" borderId="23" xfId="28" applyFont="1" applyFill="1" applyBorder="1" applyAlignment="1" applyProtection="1">
      <alignment horizontal="center" vertical="center"/>
      <protection/>
    </xf>
    <xf numFmtId="37" fontId="9" fillId="0" borderId="30" xfId="28" applyFont="1" applyFill="1" applyBorder="1" applyAlignment="1" applyProtection="1">
      <alignment horizontal="center" vertical="center"/>
      <protection/>
    </xf>
    <xf numFmtId="37" fontId="9" fillId="0" borderId="30" xfId="28" applyFont="1" applyFill="1" applyBorder="1" applyAlignment="1" applyProtection="1">
      <alignment horizontal="center" vertical="center"/>
      <protection locked="0"/>
    </xf>
    <xf numFmtId="49" fontId="1" fillId="0" borderId="11" xfId="28" applyNumberFormat="1" applyFont="1" applyFill="1" applyBorder="1" applyAlignment="1" applyProtection="1">
      <alignment horizontal="center" vertical="center"/>
      <protection/>
    </xf>
    <xf numFmtId="49" fontId="1" fillId="0" borderId="31" xfId="28" applyNumberFormat="1" applyFont="1" applyFill="1" applyBorder="1" applyAlignment="1" applyProtection="1">
      <alignment horizontal="center" vertical="center"/>
      <protection/>
    </xf>
    <xf numFmtId="49" fontId="1" fillId="0" borderId="31" xfId="28" applyNumberFormat="1" applyFont="1" applyFill="1" applyBorder="1" applyAlignment="1" applyProtection="1">
      <alignment horizontal="center" vertical="center"/>
      <protection locked="0"/>
    </xf>
    <xf numFmtId="49" fontId="9" fillId="6" borderId="32" xfId="28" applyNumberFormat="1" applyFont="1" applyFill="1" applyBorder="1" applyAlignment="1" applyProtection="1">
      <alignment horizontal="centerContinuous" vertical="center"/>
      <protection/>
    </xf>
    <xf numFmtId="49" fontId="9" fillId="6" borderId="33" xfId="28" applyNumberFormat="1" applyFont="1" applyFill="1" applyBorder="1" applyAlignment="1" applyProtection="1">
      <alignment horizontal="centerContinuous" vertical="center"/>
      <protection/>
    </xf>
    <xf numFmtId="37" fontId="9" fillId="6" borderId="33" xfId="28" applyFont="1" applyFill="1" applyBorder="1" applyAlignment="1" applyProtection="1">
      <alignment horizontal="centerContinuous" vertical="center" wrapText="1"/>
      <protection/>
    </xf>
    <xf numFmtId="37" fontId="9" fillId="6" borderId="33" xfId="28" applyFont="1" applyFill="1" applyBorder="1" applyAlignment="1" applyProtection="1">
      <alignment horizontal="centerContinuous" vertical="center"/>
      <protection/>
    </xf>
    <xf numFmtId="37" fontId="9" fillId="6" borderId="33" xfId="28" applyFont="1" applyFill="1" applyBorder="1" applyAlignment="1" applyProtection="1">
      <alignment horizontal="centerContinuous" vertical="center"/>
      <protection locked="0"/>
    </xf>
    <xf numFmtId="37" fontId="9" fillId="6" borderId="34" xfId="28" applyFont="1" applyFill="1" applyBorder="1" applyAlignment="1" applyProtection="1">
      <alignment horizontal="centerContinuous" vertical="center"/>
      <protection/>
    </xf>
    <xf numFmtId="49" fontId="7" fillId="0" borderId="7" xfId="28" applyNumberFormat="1" applyFont="1" applyFill="1" applyBorder="1" applyAlignment="1" applyProtection="1">
      <alignment horizontal="center" vertical="center"/>
      <protection/>
    </xf>
    <xf numFmtId="37" fontId="7" fillId="0" borderId="7" xfId="28" applyFont="1" applyFill="1" applyBorder="1" applyAlignment="1" applyProtection="1">
      <alignment vertical="center" wrapText="1"/>
      <protection/>
    </xf>
    <xf numFmtId="37" fontId="7" fillId="0" borderId="7" xfId="28" applyFont="1" applyFill="1" applyBorder="1" applyAlignment="1" applyProtection="1">
      <alignment vertical="center"/>
      <protection/>
    </xf>
    <xf numFmtId="37" fontId="7" fillId="0" borderId="7" xfId="28" applyFont="1" applyFill="1" applyBorder="1" applyAlignment="1" applyProtection="1">
      <alignment vertical="center"/>
      <protection locked="0"/>
    </xf>
    <xf numFmtId="49" fontId="7" fillId="0" borderId="7" xfId="28" applyNumberFormat="1" applyFont="1" applyFill="1" applyBorder="1" applyAlignment="1" applyProtection="1" quotePrefix="1">
      <alignment horizontal="center" vertical="center"/>
      <protection/>
    </xf>
    <xf numFmtId="37" fontId="7" fillId="0" borderId="7" xfId="28" applyFont="1" applyFill="1" applyBorder="1" applyAlignment="1" applyProtection="1" quotePrefix="1">
      <alignment horizontal="left" vertical="center" wrapText="1"/>
      <protection/>
    </xf>
    <xf numFmtId="49" fontId="7" fillId="0" borderId="6" xfId="28" applyNumberFormat="1" applyFont="1" applyFill="1" applyBorder="1" applyAlignment="1" applyProtection="1">
      <alignment horizontal="center" vertical="center"/>
      <protection/>
    </xf>
    <xf numFmtId="49" fontId="7" fillId="0" borderId="11" xfId="28" applyNumberFormat="1" applyFont="1" applyFill="1" applyBorder="1" applyAlignment="1" applyProtection="1">
      <alignment horizontal="center" vertical="center"/>
      <protection/>
    </xf>
    <xf numFmtId="49" fontId="7" fillId="0" borderId="9" xfId="28" applyNumberFormat="1" applyFont="1" applyFill="1" applyBorder="1" applyAlignment="1" applyProtection="1">
      <alignment horizontal="center" vertical="center"/>
      <protection/>
    </xf>
    <xf numFmtId="49" fontId="7" fillId="0" borderId="9" xfId="28" applyNumberFormat="1" applyFont="1" applyFill="1" applyBorder="1" applyAlignment="1" applyProtection="1" quotePrefix="1">
      <alignment horizontal="center" vertical="center"/>
      <protection/>
    </xf>
    <xf numFmtId="37" fontId="7" fillId="0" borderId="9" xfId="28" applyFont="1" applyFill="1" applyBorder="1" applyAlignment="1" applyProtection="1" quotePrefix="1">
      <alignment horizontal="left" vertical="center" wrapText="1"/>
      <protection/>
    </xf>
    <xf numFmtId="37" fontId="7" fillId="0" borderId="9" xfId="28" applyFont="1" applyFill="1" applyBorder="1" applyAlignment="1" applyProtection="1">
      <alignment vertical="center"/>
      <protection/>
    </xf>
    <xf numFmtId="37" fontId="7" fillId="0" borderId="9" xfId="28" applyFont="1" applyFill="1" applyBorder="1" applyAlignment="1" applyProtection="1">
      <alignment vertical="center"/>
      <protection locked="0"/>
    </xf>
    <xf numFmtId="49" fontId="11" fillId="5" borderId="26" xfId="28" applyNumberFormat="1" applyFont="1" applyFill="1" applyBorder="1" applyAlignment="1" applyProtection="1">
      <alignment horizontal="centerContinuous" vertical="center"/>
      <protection/>
    </xf>
    <xf numFmtId="49" fontId="11" fillId="5" borderId="27" xfId="28" applyNumberFormat="1" applyFont="1" applyFill="1" applyBorder="1" applyAlignment="1" applyProtection="1">
      <alignment horizontal="centerContinuous" vertical="center"/>
      <protection/>
    </xf>
    <xf numFmtId="37" fontId="11" fillId="5" borderId="17" xfId="28" applyFont="1" applyFill="1" applyBorder="1" applyAlignment="1" applyProtection="1">
      <alignment horizontal="center" vertical="center" wrapText="1"/>
      <protection/>
    </xf>
    <xf numFmtId="37" fontId="11" fillId="5" borderId="23" xfId="28" applyFont="1" applyFill="1" applyBorder="1" applyAlignment="1" applyProtection="1">
      <alignment horizontal="center" vertical="center"/>
      <protection/>
    </xf>
    <xf numFmtId="37" fontId="11" fillId="5" borderId="27" xfId="28" applyFont="1" applyFill="1" applyBorder="1" applyAlignment="1" applyProtection="1">
      <alignment horizontal="centerContinuous" vertical="center"/>
      <protection/>
    </xf>
    <xf numFmtId="37" fontId="11" fillId="5" borderId="25" xfId="28" applyFont="1" applyFill="1" applyBorder="1" applyAlignment="1" applyProtection="1">
      <alignment horizontal="center" vertical="center"/>
      <protection/>
    </xf>
    <xf numFmtId="37" fontId="11" fillId="5" borderId="30" xfId="28" applyFont="1" applyFill="1" applyBorder="1" applyAlignment="1" applyProtection="1">
      <alignment horizontal="center" vertical="center"/>
      <protection/>
    </xf>
    <xf numFmtId="37" fontId="11" fillId="5" borderId="30" xfId="28" applyFont="1" applyFill="1" applyBorder="1" applyAlignment="1" applyProtection="1">
      <alignment horizontal="center" vertical="center"/>
      <protection locked="0"/>
    </xf>
    <xf numFmtId="49" fontId="8" fillId="5" borderId="35" xfId="28" applyNumberFormat="1" applyFont="1" applyFill="1" applyBorder="1" applyAlignment="1" applyProtection="1">
      <alignment horizontal="center" vertical="center"/>
      <protection/>
    </xf>
    <xf numFmtId="49" fontId="8" fillId="5" borderId="36" xfId="28" applyNumberFormat="1" applyFont="1" applyFill="1" applyBorder="1" applyAlignment="1" applyProtection="1">
      <alignment horizontal="center" vertical="center"/>
      <protection/>
    </xf>
    <xf numFmtId="49" fontId="8" fillId="5" borderId="36" xfId="28" applyNumberFormat="1" applyFont="1" applyFill="1" applyBorder="1" applyAlignment="1" applyProtection="1" quotePrefix="1">
      <alignment horizontal="center" vertical="center"/>
      <protection/>
    </xf>
    <xf numFmtId="37" fontId="11" fillId="5" borderId="37" xfId="28" applyFont="1" applyFill="1" applyBorder="1" applyAlignment="1" applyProtection="1">
      <alignment horizontal="center" vertical="center" wrapText="1"/>
      <protection/>
    </xf>
    <xf numFmtId="37" fontId="11" fillId="5" borderId="6" xfId="28" applyFont="1" applyFill="1" applyBorder="1" applyAlignment="1" applyProtection="1">
      <alignment horizontal="center" vertical="center"/>
      <protection/>
    </xf>
    <xf numFmtId="37" fontId="11" fillId="5" borderId="12" xfId="28" applyFont="1" applyFill="1" applyBorder="1" applyAlignment="1" applyProtection="1">
      <alignment horizontal="centerContinuous" vertical="center"/>
      <protection/>
    </xf>
    <xf numFmtId="37" fontId="11" fillId="5" borderId="7" xfId="28" applyFont="1" applyFill="1" applyBorder="1" applyAlignment="1" applyProtection="1">
      <alignment horizontal="center" vertical="center"/>
      <protection/>
    </xf>
    <xf numFmtId="37" fontId="11" fillId="5" borderId="8" xfId="28" applyFont="1" applyFill="1" applyBorder="1" applyAlignment="1" applyProtection="1">
      <alignment horizontal="center" vertical="center"/>
      <protection/>
    </xf>
    <xf numFmtId="37" fontId="11" fillId="5" borderId="38" xfId="28" applyFont="1" applyFill="1" applyBorder="1" applyAlignment="1" applyProtection="1">
      <alignment horizontal="center" vertical="center"/>
      <protection/>
    </xf>
    <xf numFmtId="37" fontId="11" fillId="5" borderId="38" xfId="28" applyFont="1" applyFill="1" applyBorder="1" applyAlignment="1" applyProtection="1">
      <alignment horizontal="center" vertical="center"/>
      <protection locked="0"/>
    </xf>
    <xf numFmtId="49" fontId="8" fillId="5" borderId="11" xfId="28" applyNumberFormat="1" applyFont="1" applyFill="1" applyBorder="1" applyAlignment="1" applyProtection="1">
      <alignment horizontal="center" vertical="center"/>
      <protection/>
    </xf>
    <xf numFmtId="49" fontId="8" fillId="5" borderId="9" xfId="28" applyNumberFormat="1" applyFont="1" applyFill="1" applyBorder="1" applyAlignment="1" applyProtection="1">
      <alignment horizontal="center" vertical="center"/>
      <protection/>
    </xf>
    <xf numFmtId="49" fontId="11" fillId="5" borderId="5" xfId="28" applyNumberFormat="1" applyFont="1" applyFill="1" applyBorder="1" applyAlignment="1" applyProtection="1">
      <alignment horizontal="center" vertical="center" wrapText="1"/>
      <protection/>
    </xf>
    <xf numFmtId="49" fontId="11" fillId="5" borderId="11" xfId="28" applyNumberFormat="1" applyFont="1" applyFill="1" applyBorder="1" applyAlignment="1" applyProtection="1">
      <alignment horizontal="center" vertical="center"/>
      <protection/>
    </xf>
    <xf numFmtId="49" fontId="11" fillId="5" borderId="9" xfId="28" applyNumberFormat="1" applyFont="1" applyFill="1" applyBorder="1" applyAlignment="1" applyProtection="1">
      <alignment horizontal="center" vertical="center"/>
      <protection/>
    </xf>
    <xf numFmtId="49" fontId="11" fillId="5" borderId="10" xfId="28" applyNumberFormat="1" applyFont="1" applyFill="1" applyBorder="1" applyAlignment="1" applyProtection="1">
      <alignment horizontal="center" vertical="center"/>
      <protection/>
    </xf>
    <xf numFmtId="49" fontId="11" fillId="5" borderId="31" xfId="28" applyNumberFormat="1" applyFont="1" applyFill="1" applyBorder="1" applyAlignment="1" applyProtection="1">
      <alignment horizontal="center" vertical="center"/>
      <protection/>
    </xf>
    <xf numFmtId="49" fontId="11" fillId="5" borderId="31" xfId="28" applyNumberFormat="1" applyFont="1" applyFill="1" applyBorder="1" applyAlignment="1" applyProtection="1">
      <alignment horizontal="center" vertical="center"/>
      <protection locked="0"/>
    </xf>
    <xf numFmtId="37" fontId="11" fillId="5" borderId="7" xfId="28" applyFont="1" applyFill="1" applyBorder="1" applyAlignment="1" applyProtection="1">
      <alignment horizontal="center" vertical="center"/>
      <protection locked="0"/>
    </xf>
    <xf numFmtId="37" fontId="11" fillId="5" borderId="24" xfId="28" applyFont="1" applyFill="1" applyBorder="1" applyAlignment="1" applyProtection="1">
      <alignment horizontal="center" vertical="center"/>
      <protection/>
    </xf>
    <xf numFmtId="37" fontId="11" fillId="5" borderId="24" xfId="28" applyFont="1" applyFill="1" applyBorder="1" applyAlignment="1" applyProtection="1">
      <alignment horizontal="center" vertical="center"/>
      <protection locked="0"/>
    </xf>
    <xf numFmtId="49" fontId="11" fillId="5" borderId="9" xfId="28" applyNumberFormat="1" applyFont="1" applyFill="1" applyBorder="1" applyAlignment="1" applyProtection="1">
      <alignment horizontal="center" vertical="center"/>
      <protection locked="0"/>
    </xf>
    <xf numFmtId="37" fontId="7" fillId="0" borderId="6" xfId="28" applyFont="1" applyFill="1" applyBorder="1" applyAlignment="1" applyProtection="1">
      <alignment vertical="center"/>
      <protection/>
    </xf>
    <xf numFmtId="37" fontId="7" fillId="0" borderId="11" xfId="28" applyFont="1" applyFill="1" applyBorder="1" applyAlignment="1" applyProtection="1">
      <alignment vertical="center"/>
      <protection/>
    </xf>
    <xf numFmtId="49" fontId="9" fillId="4" borderId="29" xfId="28" applyNumberFormat="1" applyFont="1" applyFill="1" applyBorder="1" applyAlignment="1" applyProtection="1">
      <alignment horizontal="center" vertical="center"/>
      <protection/>
    </xf>
    <xf numFmtId="49" fontId="9" fillId="4" borderId="13" xfId="28" applyNumberFormat="1" applyFont="1" applyFill="1" applyBorder="1" applyAlignment="1" applyProtection="1">
      <alignment horizontal="center" vertical="center"/>
      <protection/>
    </xf>
    <xf numFmtId="37" fontId="9" fillId="4" borderId="13" xfId="28" applyFont="1" applyFill="1" applyBorder="1" applyAlignment="1" applyProtection="1">
      <alignment horizontal="left" vertical="center" wrapText="1"/>
      <protection/>
    </xf>
    <xf numFmtId="37" fontId="9" fillId="4" borderId="29" xfId="28" applyFont="1" applyFill="1" applyBorder="1" applyAlignment="1" applyProtection="1">
      <alignment vertical="center"/>
      <protection/>
    </xf>
    <xf numFmtId="37" fontId="9" fillId="4" borderId="13" xfId="28" applyFont="1" applyFill="1" applyBorder="1" applyAlignment="1" applyProtection="1">
      <alignment vertical="center"/>
      <protection/>
    </xf>
    <xf numFmtId="37" fontId="9" fillId="4" borderId="14" xfId="28" applyFont="1" applyFill="1" applyBorder="1" applyAlignment="1" applyProtection="1">
      <alignment vertical="center"/>
      <protection/>
    </xf>
    <xf numFmtId="37" fontId="9" fillId="4" borderId="13" xfId="28" applyFont="1" applyFill="1" applyBorder="1" applyAlignment="1" applyProtection="1">
      <alignment vertical="center"/>
      <protection locked="0"/>
    </xf>
    <xf numFmtId="49" fontId="9" fillId="3" borderId="18" xfId="28" applyNumberFormat="1" applyFont="1" applyFill="1" applyBorder="1" applyAlignment="1" applyProtection="1">
      <alignment horizontal="center" vertical="center"/>
      <protection/>
    </xf>
    <xf numFmtId="49" fontId="9" fillId="3" borderId="12" xfId="28" applyNumberFormat="1" applyFont="1" applyFill="1" applyBorder="1" applyAlignment="1" applyProtection="1">
      <alignment horizontal="center" vertical="center"/>
      <protection/>
    </xf>
    <xf numFmtId="49" fontId="9" fillId="3" borderId="12" xfId="28" applyNumberFormat="1" applyFont="1" applyFill="1" applyBorder="1" applyAlignment="1" applyProtection="1" quotePrefix="1">
      <alignment horizontal="center" vertical="center"/>
      <protection/>
    </xf>
    <xf numFmtId="37" fontId="9" fillId="3" borderId="12" xfId="28" applyFont="1" applyFill="1" applyBorder="1" applyAlignment="1" applyProtection="1">
      <alignment vertical="center" wrapText="1"/>
      <protection/>
    </xf>
    <xf numFmtId="37" fontId="9" fillId="3" borderId="18" xfId="28" applyFont="1" applyFill="1" applyBorder="1" applyAlignment="1" applyProtection="1">
      <alignment vertical="center"/>
      <protection/>
    </xf>
    <xf numFmtId="37" fontId="9" fillId="3" borderId="12" xfId="28" applyFont="1" applyFill="1" applyBorder="1" applyAlignment="1" applyProtection="1">
      <alignment vertical="center"/>
      <protection/>
    </xf>
    <xf numFmtId="37" fontId="9" fillId="3" borderId="19" xfId="28" applyFont="1" applyFill="1" applyBorder="1" applyAlignment="1" applyProtection="1">
      <alignment vertical="center"/>
      <protection/>
    </xf>
    <xf numFmtId="37" fontId="9" fillId="3" borderId="12" xfId="28" applyFont="1" applyFill="1" applyBorder="1" applyAlignment="1" applyProtection="1">
      <alignment vertical="center"/>
      <protection locked="0"/>
    </xf>
    <xf numFmtId="37" fontId="7" fillId="0" borderId="9" xfId="28" applyFont="1" applyFill="1" applyBorder="1" applyAlignment="1" applyProtection="1">
      <alignment vertical="center" wrapText="1"/>
      <protection/>
    </xf>
    <xf numFmtId="37" fontId="9" fillId="0" borderId="24" xfId="28" applyFont="1" applyFill="1" applyBorder="1" applyAlignment="1" applyProtection="1">
      <alignment horizontal="center" vertical="center"/>
      <protection/>
    </xf>
    <xf numFmtId="37" fontId="9" fillId="0" borderId="24" xfId="28" applyFont="1" applyFill="1" applyBorder="1" applyAlignment="1" applyProtection="1">
      <alignment horizontal="center" vertical="center"/>
      <protection locked="0"/>
    </xf>
    <xf numFmtId="49" fontId="1" fillId="0" borderId="9" xfId="28" applyNumberFormat="1" applyFont="1" applyFill="1" applyBorder="1" applyAlignment="1" applyProtection="1">
      <alignment horizontal="center" vertical="center"/>
      <protection/>
    </xf>
    <xf numFmtId="49" fontId="1" fillId="0" borderId="9" xfId="28" applyNumberFormat="1" applyFont="1" applyFill="1" applyBorder="1" applyAlignment="1" applyProtection="1">
      <alignment horizontal="center" vertical="center"/>
      <protection locked="0"/>
    </xf>
    <xf numFmtId="37" fontId="9" fillId="3" borderId="15" xfId="29" applyFont="1" applyFill="1" applyBorder="1" applyAlignment="1" applyProtection="1">
      <alignment horizontal="centerContinuous" vertical="center"/>
      <protection locked="0"/>
    </xf>
    <xf numFmtId="37" fontId="9" fillId="3" borderId="17" xfId="29" applyFont="1" applyFill="1" applyBorder="1" applyAlignment="1" applyProtection="1">
      <alignment horizontal="centerContinuous" vertical="center"/>
      <protection locked="0"/>
    </xf>
    <xf numFmtId="180" fontId="9" fillId="3" borderId="3" xfId="29" applyNumberFormat="1" applyFont="1" applyFill="1" applyBorder="1" applyAlignment="1" applyProtection="1">
      <alignment horizontal="centerContinuous" vertical="center"/>
      <protection locked="0"/>
    </xf>
    <xf numFmtId="180" fontId="9" fillId="3" borderId="5" xfId="29" applyNumberFormat="1" applyFont="1" applyFill="1" applyBorder="1" applyAlignment="1" applyProtection="1">
      <alignment horizontal="centerContinuous" vertical="center"/>
      <protection locked="0"/>
    </xf>
    <xf numFmtId="37" fontId="9" fillId="4" borderId="14" xfId="28" applyFont="1" applyFill="1" applyBorder="1" applyAlignment="1" applyProtection="1" quotePrefix="1">
      <alignment horizontal="left" vertical="center" wrapText="1"/>
      <protection/>
    </xf>
    <xf numFmtId="37" fontId="9" fillId="3" borderId="19" xfId="28" applyFont="1" applyFill="1" applyBorder="1" applyAlignment="1" applyProtection="1">
      <alignment vertical="center" wrapText="1"/>
      <protection/>
    </xf>
    <xf numFmtId="37" fontId="9" fillId="3" borderId="26" xfId="28" applyFont="1" applyFill="1" applyBorder="1" applyAlignment="1" applyProtection="1">
      <alignment horizontal="left" vertical="center" wrapText="1"/>
      <protection/>
    </xf>
    <xf numFmtId="37" fontId="9" fillId="3" borderId="27" xfId="28" applyFont="1" applyFill="1" applyBorder="1" applyAlignment="1" applyProtection="1">
      <alignment vertical="center"/>
      <protection/>
    </xf>
    <xf numFmtId="37" fontId="9" fillId="3" borderId="27" xfId="28" applyFont="1" applyFill="1" applyBorder="1" applyAlignment="1" applyProtection="1">
      <alignment vertical="center"/>
      <protection locked="0"/>
    </xf>
    <xf numFmtId="37" fontId="9" fillId="3" borderId="28" xfId="28" applyFont="1" applyFill="1" applyBorder="1" applyAlignment="1" applyProtection="1">
      <alignment vertical="center"/>
      <protection/>
    </xf>
    <xf numFmtId="37" fontId="9" fillId="3" borderId="39" xfId="28" applyFont="1" applyFill="1" applyBorder="1" applyAlignment="1" applyProtection="1">
      <alignment horizontal="left" vertical="center" wrapText="1"/>
      <protection/>
    </xf>
    <xf numFmtId="37" fontId="9" fillId="3" borderId="40" xfId="28" applyFont="1" applyFill="1" applyBorder="1" applyAlignment="1" applyProtection="1">
      <alignment vertical="center"/>
      <protection/>
    </xf>
    <xf numFmtId="37" fontId="9" fillId="3" borderId="40" xfId="28" applyFont="1" applyFill="1" applyBorder="1" applyAlignment="1" applyProtection="1">
      <alignment vertical="center"/>
      <protection locked="0"/>
    </xf>
    <xf numFmtId="37" fontId="9" fillId="3" borderId="41" xfId="28" applyFont="1" applyFill="1" applyBorder="1" applyAlignment="1" applyProtection="1">
      <alignment vertical="center"/>
      <protection/>
    </xf>
    <xf numFmtId="37" fontId="9" fillId="4" borderId="26" xfId="28" applyFont="1" applyFill="1" applyBorder="1" applyAlignment="1" applyProtection="1">
      <alignment horizontal="left" vertical="center" wrapText="1"/>
      <protection/>
    </xf>
    <xf numFmtId="37" fontId="9" fillId="4" borderId="27" xfId="28" applyFont="1" applyFill="1" applyBorder="1" applyAlignment="1" applyProtection="1">
      <alignment vertical="center"/>
      <protection/>
    </xf>
    <xf numFmtId="37" fontId="9" fillId="4" borderId="27" xfId="28" applyFont="1" applyFill="1" applyBorder="1" applyAlignment="1" applyProtection="1">
      <alignment vertical="center"/>
      <protection locked="0"/>
    </xf>
    <xf numFmtId="37" fontId="9" fillId="4" borderId="28" xfId="28" applyFont="1" applyFill="1" applyBorder="1" applyAlignment="1" applyProtection="1">
      <alignment vertical="center"/>
      <protection/>
    </xf>
    <xf numFmtId="37" fontId="9" fillId="4" borderId="39" xfId="28" applyFont="1" applyFill="1" applyBorder="1" applyAlignment="1" applyProtection="1">
      <alignment horizontal="left" vertical="center" wrapText="1"/>
      <protection/>
    </xf>
    <xf numFmtId="37" fontId="9" fillId="4" borderId="40" xfId="28" applyFont="1" applyFill="1" applyBorder="1" applyAlignment="1" applyProtection="1">
      <alignment vertical="center"/>
      <protection/>
    </xf>
    <xf numFmtId="37" fontId="9" fillId="4" borderId="40" xfId="28" applyFont="1" applyFill="1" applyBorder="1" applyAlignment="1" applyProtection="1">
      <alignment vertical="center"/>
      <protection locked="0"/>
    </xf>
    <xf numFmtId="37" fontId="9" fillId="4" borderId="41" xfId="28" applyFont="1" applyFill="1" applyBorder="1" applyAlignment="1" applyProtection="1">
      <alignment vertical="center"/>
      <protection/>
    </xf>
    <xf numFmtId="37" fontId="9" fillId="5" borderId="29" xfId="28" applyFont="1" applyFill="1" applyBorder="1" applyAlignment="1" applyProtection="1">
      <alignment horizontal="left" vertical="center" wrapText="1"/>
      <protection/>
    </xf>
    <xf numFmtId="37" fontId="9" fillId="5" borderId="13" xfId="28" applyFont="1" applyFill="1" applyBorder="1" applyAlignment="1" applyProtection="1">
      <alignment vertical="center"/>
      <protection/>
    </xf>
    <xf numFmtId="37" fontId="9" fillId="5" borderId="13" xfId="28" applyFont="1" applyFill="1" applyBorder="1" applyAlignment="1" applyProtection="1">
      <alignment vertical="center"/>
      <protection locked="0"/>
    </xf>
    <xf numFmtId="37" fontId="9" fillId="5" borderId="14" xfId="28" applyFont="1" applyFill="1" applyBorder="1" applyAlignment="1" applyProtection="1">
      <alignment vertical="center"/>
      <protection/>
    </xf>
    <xf numFmtId="37" fontId="9" fillId="3" borderId="26" xfId="28" applyFont="1" applyFill="1" applyBorder="1" applyAlignment="1" applyProtection="1">
      <alignment vertical="center"/>
      <protection/>
    </xf>
    <xf numFmtId="37" fontId="9" fillId="3" borderId="39" xfId="28" applyFont="1" applyFill="1" applyBorder="1" applyAlignment="1" applyProtection="1">
      <alignment vertical="center"/>
      <protection/>
    </xf>
    <xf numFmtId="37" fontId="9" fillId="4" borderId="26" xfId="28" applyFont="1" applyFill="1" applyBorder="1" applyAlignment="1" applyProtection="1">
      <alignment vertical="center"/>
      <protection/>
    </xf>
    <xf numFmtId="37" fontId="9" fillId="4" borderId="39" xfId="28" applyFont="1" applyFill="1" applyBorder="1" applyAlignment="1" applyProtection="1">
      <alignment vertical="center"/>
      <protection/>
    </xf>
    <xf numFmtId="37" fontId="9" fillId="5" borderId="29" xfId="28" applyFont="1" applyFill="1" applyBorder="1" applyAlignment="1" applyProtection="1">
      <alignment vertical="center"/>
      <protection/>
    </xf>
    <xf numFmtId="37" fontId="0" fillId="0" borderId="30" xfId="28" applyFont="1" applyFill="1" applyBorder="1" applyAlignment="1" applyProtection="1">
      <alignment horizontal="left" vertical="center"/>
      <protection/>
    </xf>
    <xf numFmtId="37" fontId="0" fillId="0" borderId="31" xfId="28" applyFont="1" applyFill="1" applyBorder="1" applyAlignment="1" applyProtection="1">
      <alignment horizontal="left" vertical="center"/>
      <protection/>
    </xf>
    <xf numFmtId="37" fontId="7" fillId="5" borderId="1" xfId="30" applyFont="1" applyFill="1" applyBorder="1" applyAlignment="1" applyProtection="1">
      <alignment horizontal="center" vertical="center"/>
      <protection locked="0"/>
    </xf>
    <xf numFmtId="37" fontId="7" fillId="5" borderId="2" xfId="30" applyFont="1" applyFill="1" applyBorder="1" applyAlignment="1" applyProtection="1">
      <alignment horizontal="center" vertical="center"/>
      <protection locked="0"/>
    </xf>
    <xf numFmtId="37" fontId="0" fillId="2" borderId="15" xfId="28" applyFont="1" applyFill="1" applyBorder="1" applyAlignment="1" applyProtection="1">
      <alignment horizontal="left" vertical="center"/>
      <protection/>
    </xf>
    <xf numFmtId="37" fontId="0" fillId="2" borderId="16" xfId="28" applyFont="1" applyFill="1" applyBorder="1" applyAlignment="1" applyProtection="1">
      <alignment horizontal="left" vertical="center"/>
      <protection/>
    </xf>
    <xf numFmtId="0" fontId="0" fillId="2" borderId="16" xfId="0" applyFont="1" applyFill="1" applyBorder="1" applyAlignment="1" applyProtection="1">
      <alignment vertical="center"/>
      <protection/>
    </xf>
    <xf numFmtId="37" fontId="7" fillId="2" borderId="16" xfId="28" applyFont="1" applyFill="1" applyBorder="1" applyAlignment="1" applyProtection="1">
      <alignment vertical="center"/>
      <protection/>
    </xf>
    <xf numFmtId="37" fontId="7" fillId="2" borderId="17" xfId="28" applyFont="1" applyFill="1" applyBorder="1" applyAlignment="1" applyProtection="1">
      <alignment horizontal="right" vertical="center"/>
      <protection/>
    </xf>
    <xf numFmtId="37" fontId="0" fillId="2" borderId="3" xfId="28" applyFont="1" applyFill="1" applyBorder="1" applyAlignment="1" applyProtection="1">
      <alignment horizontal="left" vertical="center"/>
      <protection/>
    </xf>
    <xf numFmtId="37" fontId="0" fillId="2" borderId="4" xfId="28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37" fontId="0" fillId="2" borderId="4" xfId="28" applyFont="1" applyFill="1" applyBorder="1" applyAlignment="1" applyProtection="1">
      <alignment vertical="center"/>
      <protection/>
    </xf>
    <xf numFmtId="37" fontId="7" fillId="2" borderId="4" xfId="28" applyFont="1" applyFill="1" applyBorder="1" applyAlignment="1" applyProtection="1">
      <alignment vertical="center"/>
      <protection/>
    </xf>
    <xf numFmtId="37" fontId="7" fillId="2" borderId="5" xfId="28" applyFont="1" applyFill="1" applyBorder="1" applyAlignment="1" applyProtection="1">
      <alignment horizontal="right" vertical="center"/>
      <protection/>
    </xf>
    <xf numFmtId="37" fontId="9" fillId="3" borderId="16" xfId="29" applyFont="1" applyFill="1" applyBorder="1" applyAlignment="1" applyProtection="1">
      <alignment horizontal="centerContinuous" vertical="center"/>
      <protection locked="0"/>
    </xf>
    <xf numFmtId="180" fontId="9" fillId="3" borderId="4" xfId="29" applyNumberFormat="1" applyFont="1" applyFill="1" applyBorder="1" applyAlignment="1" applyProtection="1">
      <alignment horizontal="centerContinuous" vertical="center"/>
      <protection locked="0"/>
    </xf>
    <xf numFmtId="37" fontId="11" fillId="5" borderId="16" xfId="28" applyFont="1" applyFill="1" applyBorder="1" applyAlignment="1" applyProtection="1">
      <alignment horizontal="center" vertical="center"/>
      <protection/>
    </xf>
    <xf numFmtId="37" fontId="11" fillId="5" borderId="0" xfId="28" applyFont="1" applyFill="1" applyBorder="1" applyAlignment="1" applyProtection="1">
      <alignment horizontal="center" vertical="center"/>
      <protection/>
    </xf>
    <xf numFmtId="49" fontId="11" fillId="5" borderId="4" xfId="28" applyNumberFormat="1" applyFont="1" applyFill="1" applyBorder="1" applyAlignment="1" applyProtection="1">
      <alignment horizontal="center" vertical="center"/>
      <protection/>
    </xf>
    <xf numFmtId="37" fontId="9" fillId="4" borderId="33" xfId="28" applyFont="1" applyFill="1" applyBorder="1" applyAlignment="1" applyProtection="1">
      <alignment vertical="center"/>
      <protection/>
    </xf>
    <xf numFmtId="37" fontId="9" fillId="4" borderId="42" xfId="28" applyFont="1" applyFill="1" applyBorder="1" applyAlignment="1" applyProtection="1">
      <alignment vertical="center"/>
      <protection/>
    </xf>
    <xf numFmtId="37" fontId="9" fillId="3" borderId="43" xfId="28" applyFont="1" applyFill="1" applyBorder="1" applyAlignment="1" applyProtection="1">
      <alignment vertical="center"/>
      <protection/>
    </xf>
    <xf numFmtId="37" fontId="9" fillId="3" borderId="44" xfId="28" applyFont="1" applyFill="1" applyBorder="1" applyAlignment="1" applyProtection="1">
      <alignment vertical="center"/>
      <protection/>
    </xf>
    <xf numFmtId="37" fontId="9" fillId="4" borderId="43" xfId="28" applyFont="1" applyFill="1" applyBorder="1" applyAlignment="1" applyProtection="1">
      <alignment vertical="center"/>
      <protection/>
    </xf>
    <xf numFmtId="37" fontId="9" fillId="4" borderId="44" xfId="28" applyFont="1" applyFill="1" applyBorder="1" applyAlignment="1" applyProtection="1">
      <alignment vertical="center"/>
      <protection/>
    </xf>
    <xf numFmtId="37" fontId="9" fillId="5" borderId="33" xfId="28" applyFont="1" applyFill="1" applyBorder="1" applyAlignment="1" applyProtection="1">
      <alignment vertical="center"/>
      <protection/>
    </xf>
    <xf numFmtId="37" fontId="9" fillId="2" borderId="16" xfId="29" applyFont="1" applyFill="1" applyBorder="1" applyAlignment="1">
      <alignment horizontal="center" vertical="center"/>
      <protection/>
    </xf>
    <xf numFmtId="49" fontId="9" fillId="2" borderId="4" xfId="29" applyNumberFormat="1" applyFont="1" applyFill="1" applyBorder="1" applyAlignment="1">
      <alignment horizontal="center" vertical="center"/>
      <protection/>
    </xf>
    <xf numFmtId="37" fontId="9" fillId="3" borderId="45" xfId="29" applyFont="1" applyFill="1" applyBorder="1" applyAlignment="1" applyProtection="1">
      <alignment horizontal="center" vertical="center"/>
      <protection locked="0"/>
    </xf>
    <xf numFmtId="180" fontId="9" fillId="3" borderId="46" xfId="29" applyNumberFormat="1" applyFont="1" applyFill="1" applyBorder="1" applyAlignment="1" applyProtection="1">
      <alignment horizontal="center" vertical="center"/>
      <protection locked="0"/>
    </xf>
    <xf numFmtId="37" fontId="9" fillId="3" borderId="8" xfId="28" applyFont="1" applyFill="1" applyBorder="1" applyAlignment="1" applyProtection="1">
      <alignment vertical="center"/>
      <protection/>
    </xf>
    <xf numFmtId="37" fontId="9" fillId="3" borderId="10" xfId="28" applyFont="1" applyFill="1" applyBorder="1" applyAlignment="1" applyProtection="1">
      <alignment vertical="center"/>
      <protection/>
    </xf>
    <xf numFmtId="37" fontId="9" fillId="2" borderId="17" xfId="28" applyFont="1" applyFill="1" applyBorder="1" applyAlignment="1" applyProtection="1">
      <alignment horizontal="center" vertical="center"/>
      <protection/>
    </xf>
    <xf numFmtId="49" fontId="1" fillId="2" borderId="5" xfId="28" applyNumberFormat="1" applyFont="1" applyFill="1" applyBorder="1" applyAlignment="1" applyProtection="1">
      <alignment horizontal="center" vertical="center"/>
      <protection/>
    </xf>
    <xf numFmtId="37" fontId="9" fillId="0" borderId="0" xfId="28" applyFont="1" applyFill="1" applyBorder="1" applyAlignment="1" applyProtection="1">
      <alignment vertical="center"/>
      <protection/>
    </xf>
    <xf numFmtId="37" fontId="11" fillId="5" borderId="17" xfId="28" applyFont="1" applyFill="1" applyBorder="1" applyAlignment="1" applyProtection="1">
      <alignment horizontal="center" vertical="center"/>
      <protection/>
    </xf>
    <xf numFmtId="37" fontId="11" fillId="5" borderId="37" xfId="28" applyFont="1" applyFill="1" applyBorder="1" applyAlignment="1" applyProtection="1">
      <alignment horizontal="center" vertical="center"/>
      <protection/>
    </xf>
    <xf numFmtId="49" fontId="11" fillId="5" borderId="5" xfId="28" applyNumberFormat="1" applyFont="1" applyFill="1" applyBorder="1" applyAlignment="1" applyProtection="1">
      <alignment horizontal="center" vertical="center"/>
      <protection/>
    </xf>
    <xf numFmtId="37" fontId="9" fillId="3" borderId="7" xfId="28" applyFont="1" applyFill="1" applyBorder="1" applyAlignment="1" applyProtection="1">
      <alignment vertical="center"/>
      <protection/>
    </xf>
    <xf numFmtId="37" fontId="9" fillId="3" borderId="9" xfId="28" applyFont="1" applyFill="1" applyBorder="1" applyAlignment="1" applyProtection="1">
      <alignment vertical="center"/>
      <protection/>
    </xf>
    <xf numFmtId="37" fontId="9" fillId="2" borderId="25" xfId="28" applyFont="1" applyFill="1" applyBorder="1" applyAlignment="1" applyProtection="1">
      <alignment horizontal="center" vertical="center"/>
      <protection/>
    </xf>
    <xf numFmtId="49" fontId="1" fillId="2" borderId="10" xfId="28" applyNumberFormat="1" applyFont="1" applyFill="1" applyBorder="1" applyAlignment="1" applyProtection="1">
      <alignment horizontal="center" vertical="center"/>
      <protection/>
    </xf>
    <xf numFmtId="37" fontId="11" fillId="5" borderId="25" xfId="28" applyFont="1" applyFill="1" applyBorder="1" applyAlignment="1" applyProtection="1">
      <alignment horizontal="center" vertical="center"/>
      <protection/>
    </xf>
    <xf numFmtId="37" fontId="11" fillId="5" borderId="8" xfId="28" applyFont="1" applyFill="1" applyBorder="1" applyAlignment="1" applyProtection="1">
      <alignment horizontal="center" vertical="center"/>
      <protection/>
    </xf>
    <xf numFmtId="49" fontId="11" fillId="5" borderId="10" xfId="28" applyNumberFormat="1" applyFont="1" applyFill="1" applyBorder="1" applyAlignment="1" applyProtection="1" quotePrefix="1">
      <alignment horizontal="center" vertical="center"/>
      <protection/>
    </xf>
    <xf numFmtId="37" fontId="9" fillId="4" borderId="18" xfId="28" applyFont="1" applyFill="1" applyBorder="1" applyAlignment="1" applyProtection="1">
      <alignment vertical="center"/>
      <protection/>
    </xf>
    <xf numFmtId="37" fontId="9" fillId="4" borderId="47" xfId="28" applyFont="1" applyFill="1" applyBorder="1" applyAlignment="1" applyProtection="1">
      <alignment vertical="center"/>
      <protection/>
    </xf>
    <xf numFmtId="37" fontId="9" fillId="4" borderId="19" xfId="28" applyFont="1" applyFill="1" applyBorder="1" applyAlignment="1" applyProtection="1">
      <alignment vertical="center"/>
      <protection/>
    </xf>
    <xf numFmtId="37" fontId="7" fillId="4" borderId="6" xfId="28" applyFont="1" applyFill="1" applyBorder="1" applyAlignment="1" applyProtection="1">
      <alignment vertical="center"/>
      <protection/>
    </xf>
    <xf numFmtId="37" fontId="7" fillId="4" borderId="0" xfId="28" applyFont="1" applyFill="1" applyBorder="1" applyAlignment="1" applyProtection="1">
      <alignment vertical="center"/>
      <protection/>
    </xf>
    <xf numFmtId="37" fontId="7" fillId="4" borderId="8" xfId="28" applyFont="1" applyFill="1" applyBorder="1" applyAlignment="1" applyProtection="1">
      <alignment vertical="center"/>
      <protection/>
    </xf>
    <xf numFmtId="37" fontId="7" fillId="4" borderId="11" xfId="28" applyFont="1" applyFill="1" applyBorder="1" applyAlignment="1" applyProtection="1">
      <alignment vertical="center"/>
      <protection/>
    </xf>
    <xf numFmtId="37" fontId="7" fillId="4" borderId="4" xfId="28" applyFont="1" applyFill="1" applyBorder="1" applyAlignment="1" applyProtection="1">
      <alignment vertical="center"/>
      <protection/>
    </xf>
    <xf numFmtId="37" fontId="7" fillId="4" borderId="10" xfId="28" applyFont="1" applyFill="1" applyBorder="1" applyAlignment="1" applyProtection="1">
      <alignment vertical="center"/>
      <protection/>
    </xf>
    <xf numFmtId="37" fontId="9" fillId="4" borderId="12" xfId="28" applyFont="1" applyFill="1" applyBorder="1" applyAlignment="1" applyProtection="1">
      <alignment vertical="center"/>
      <protection/>
    </xf>
    <xf numFmtId="37" fontId="9" fillId="4" borderId="48" xfId="28" applyFont="1" applyFill="1" applyBorder="1" applyAlignment="1" applyProtection="1">
      <alignment vertical="center"/>
      <protection/>
    </xf>
    <xf numFmtId="37" fontId="7" fillId="4" borderId="7" xfId="28" applyFont="1" applyFill="1" applyBorder="1" applyAlignment="1" applyProtection="1">
      <alignment vertical="center"/>
      <protection/>
    </xf>
    <xf numFmtId="37" fontId="7" fillId="4" borderId="49" xfId="28" applyFont="1" applyFill="1" applyBorder="1" applyAlignment="1" applyProtection="1">
      <alignment vertical="center"/>
      <protection/>
    </xf>
    <xf numFmtId="37" fontId="7" fillId="4" borderId="9" xfId="28" applyFont="1" applyFill="1" applyBorder="1" applyAlignment="1" applyProtection="1">
      <alignment vertical="center"/>
      <protection/>
    </xf>
    <xf numFmtId="37" fontId="7" fillId="4" borderId="50" xfId="28" applyFont="1" applyFill="1" applyBorder="1" applyAlignment="1" applyProtection="1">
      <alignment vertical="center"/>
      <protection/>
    </xf>
    <xf numFmtId="37" fontId="7" fillId="2" borderId="8" xfId="28" applyFont="1" applyFill="1" applyBorder="1" applyAlignment="1" applyProtection="1">
      <alignment vertical="center" wrapText="1"/>
      <protection/>
    </xf>
    <xf numFmtId="37" fontId="7" fillId="2" borderId="10" xfId="28" applyFont="1" applyFill="1" applyBorder="1" applyAlignment="1" applyProtection="1">
      <alignment vertical="center" wrapText="1"/>
      <protection/>
    </xf>
    <xf numFmtId="37" fontId="9" fillId="0" borderId="15" xfId="30" applyFont="1" applyFill="1" applyBorder="1" applyAlignment="1" applyProtection="1">
      <alignment horizontal="centerContinuous" vertical="center"/>
      <protection/>
    </xf>
    <xf numFmtId="37" fontId="1" fillId="0" borderId="16" xfId="30" applyFont="1" applyBorder="1" applyAlignment="1">
      <alignment horizontal="centerContinuous" vertical="center"/>
      <protection/>
    </xf>
    <xf numFmtId="37" fontId="1" fillId="0" borderId="16" xfId="30" applyFont="1" applyBorder="1" applyAlignment="1">
      <alignment horizontal="centerContinuous" vertical="center"/>
      <protection/>
    </xf>
    <xf numFmtId="37" fontId="0" fillId="0" borderId="30" xfId="30" applyFont="1" applyBorder="1" applyAlignment="1" applyProtection="1">
      <alignment horizontal="center" vertical="center"/>
      <protection/>
    </xf>
    <xf numFmtId="37" fontId="0" fillId="0" borderId="30" xfId="30" applyFont="1" applyBorder="1" applyAlignment="1" applyProtection="1">
      <alignment horizontal="left" vertical="center"/>
      <protection/>
    </xf>
    <xf numFmtId="37" fontId="0" fillId="0" borderId="0" xfId="30" applyFont="1" applyAlignment="1">
      <alignment vertical="center"/>
      <protection/>
    </xf>
    <xf numFmtId="37" fontId="9" fillId="0" borderId="3" xfId="30" applyFont="1" applyFill="1" applyBorder="1" applyAlignment="1" applyProtection="1">
      <alignment horizontal="centerContinuous" vertical="center"/>
      <protection/>
    </xf>
    <xf numFmtId="37" fontId="1" fillId="0" borderId="4" xfId="30" applyFont="1" applyBorder="1" applyAlignment="1">
      <alignment horizontal="centerContinuous" vertical="center"/>
      <protection/>
    </xf>
    <xf numFmtId="37" fontId="1" fillId="0" borderId="4" xfId="30" applyFont="1" applyBorder="1" applyAlignment="1">
      <alignment horizontal="centerContinuous" vertical="center"/>
      <protection/>
    </xf>
    <xf numFmtId="37" fontId="0" fillId="0" borderId="31" xfId="30" applyFont="1" applyBorder="1" applyAlignment="1" applyProtection="1" quotePrefix="1">
      <alignment horizontal="center" vertical="center"/>
      <protection/>
    </xf>
    <xf numFmtId="37" fontId="0" fillId="0" borderId="31" xfId="30" applyFont="1" applyBorder="1" applyAlignment="1" applyProtection="1">
      <alignment horizontal="left" vertical="center"/>
      <protection/>
    </xf>
    <xf numFmtId="49" fontId="0" fillId="0" borderId="31" xfId="30" applyNumberFormat="1" applyFont="1" applyBorder="1" applyAlignment="1" applyProtection="1">
      <alignment horizontal="center" vertical="center"/>
      <protection/>
    </xf>
    <xf numFmtId="37" fontId="7" fillId="0" borderId="51" xfId="30" applyFont="1" applyFill="1" applyBorder="1" applyAlignment="1">
      <alignment vertical="center"/>
      <protection/>
    </xf>
    <xf numFmtId="37" fontId="1" fillId="0" borderId="0" xfId="30" applyFont="1" applyAlignment="1" applyProtection="1">
      <alignment horizontal="centerContinuous" vertical="center"/>
      <protection/>
    </xf>
    <xf numFmtId="37" fontId="1" fillId="0" borderId="0" xfId="30" applyFont="1" applyAlignment="1">
      <alignment horizontal="centerContinuous" vertical="center"/>
      <protection/>
    </xf>
    <xf numFmtId="37" fontId="7" fillId="2" borderId="52" xfId="30" applyFont="1" applyFill="1" applyBorder="1" applyAlignment="1" applyProtection="1">
      <alignment horizontal="centerContinuous" vertical="center"/>
      <protection/>
    </xf>
    <xf numFmtId="37" fontId="7" fillId="2" borderId="51" xfId="30" applyFont="1" applyFill="1" applyBorder="1" applyAlignment="1">
      <alignment horizontal="centerContinuous" vertical="center"/>
      <protection/>
    </xf>
    <xf numFmtId="37" fontId="7" fillId="2" borderId="52" xfId="30" applyFont="1" applyFill="1" applyBorder="1" applyAlignment="1">
      <alignment vertical="center"/>
      <protection/>
    </xf>
    <xf numFmtId="37" fontId="7" fillId="2" borderId="1" xfId="30" applyFont="1" applyFill="1" applyBorder="1" applyAlignment="1" applyProtection="1">
      <alignment horizontal="centerContinuous" vertical="center"/>
      <protection/>
    </xf>
    <xf numFmtId="37" fontId="7" fillId="2" borderId="51" xfId="30" applyFont="1" applyFill="1" applyBorder="1" applyAlignment="1" applyProtection="1">
      <alignment horizontal="centerContinuous" vertical="center"/>
      <protection/>
    </xf>
    <xf numFmtId="37" fontId="7" fillId="2" borderId="1" xfId="30" applyFont="1" applyFill="1" applyBorder="1" applyAlignment="1">
      <alignment horizontal="center" vertical="center"/>
      <protection/>
    </xf>
    <xf numFmtId="37" fontId="7" fillId="2" borderId="53" xfId="30" applyFont="1" applyFill="1" applyBorder="1" applyAlignment="1" applyProtection="1">
      <alignment horizontal="center" vertical="center"/>
      <protection locked="0"/>
    </xf>
    <xf numFmtId="37" fontId="7" fillId="2" borderId="54" xfId="30" applyFont="1" applyFill="1" applyBorder="1" applyAlignment="1" applyProtection="1">
      <alignment horizontal="center" vertical="center"/>
      <protection/>
    </xf>
    <xf numFmtId="37" fontId="7" fillId="2" borderId="49" xfId="30" applyFont="1" applyFill="1" applyBorder="1" applyAlignment="1" applyProtection="1">
      <alignment horizontal="center" vertical="center"/>
      <protection locked="0"/>
    </xf>
    <xf numFmtId="37" fontId="7" fillId="2" borderId="49" xfId="30" applyFont="1" applyFill="1" applyBorder="1" applyAlignment="1" applyProtection="1">
      <alignment horizontal="centerContinuous" vertical="center"/>
      <protection/>
    </xf>
    <xf numFmtId="37" fontId="7" fillId="2" borderId="0" xfId="30" applyFont="1" applyFill="1" applyBorder="1" applyAlignment="1">
      <alignment horizontal="centerContinuous" vertical="center"/>
      <protection/>
    </xf>
    <xf numFmtId="37" fontId="7" fillId="2" borderId="49" xfId="30" applyFont="1" applyFill="1" applyBorder="1" applyAlignment="1" applyProtection="1">
      <alignment horizontal="center" vertical="center"/>
      <protection/>
    </xf>
    <xf numFmtId="37" fontId="7" fillId="2" borderId="55" xfId="30" applyFont="1" applyFill="1" applyBorder="1" applyAlignment="1" applyProtection="1">
      <alignment horizontal="center" vertical="center"/>
      <protection locked="0"/>
    </xf>
    <xf numFmtId="37" fontId="7" fillId="2" borderId="56" xfId="30" applyFont="1" applyFill="1" applyBorder="1" applyAlignment="1">
      <alignment vertical="center"/>
      <protection/>
    </xf>
    <xf numFmtId="49" fontId="7" fillId="2" borderId="2" xfId="30" applyNumberFormat="1" applyFont="1" applyFill="1" applyBorder="1" applyAlignment="1" applyProtection="1">
      <alignment horizontal="center" vertical="center"/>
      <protection locked="0"/>
    </xf>
    <xf numFmtId="37" fontId="7" fillId="2" borderId="57" xfId="30" applyFont="1" applyFill="1" applyBorder="1" applyAlignment="1" applyProtection="1">
      <alignment horizontal="center" vertical="center"/>
      <protection/>
    </xf>
    <xf numFmtId="37" fontId="7" fillId="2" borderId="58" xfId="30" applyFont="1" applyFill="1" applyBorder="1" applyAlignment="1" applyProtection="1">
      <alignment horizontal="center" vertical="center"/>
      <protection locked="0"/>
    </xf>
    <xf numFmtId="37" fontId="7" fillId="0" borderId="0" xfId="30" applyFont="1" applyFill="1" applyBorder="1" applyAlignment="1" applyProtection="1">
      <alignment vertical="center"/>
      <protection locked="0"/>
    </xf>
    <xf numFmtId="37" fontId="7" fillId="0" borderId="0" xfId="30" applyFont="1" applyFill="1" applyBorder="1" applyAlignment="1">
      <alignment vertical="center"/>
      <protection/>
    </xf>
    <xf numFmtId="37" fontId="0" fillId="0" borderId="0" xfId="30" applyFont="1" applyBorder="1" applyAlignment="1">
      <alignment vertical="center"/>
      <protection/>
    </xf>
    <xf numFmtId="37" fontId="7" fillId="0" borderId="59" xfId="30" applyFont="1" applyFill="1" applyBorder="1" applyAlignment="1" applyProtection="1">
      <alignment vertical="center"/>
      <protection locked="0"/>
    </xf>
    <xf numFmtId="37" fontId="7" fillId="0" borderId="60" xfId="30" applyFont="1" applyFill="1" applyBorder="1" applyAlignment="1" applyProtection="1">
      <alignment vertical="center"/>
      <protection locked="0"/>
    </xf>
    <xf numFmtId="37" fontId="7" fillId="0" borderId="59" xfId="30" applyFont="1" applyFill="1" applyBorder="1" applyAlignment="1" applyProtection="1">
      <alignment vertical="center"/>
      <protection/>
    </xf>
    <xf numFmtId="37" fontId="7" fillId="0" borderId="60" xfId="30" applyFont="1" applyFill="1" applyBorder="1" applyAlignment="1" applyProtection="1">
      <alignment vertical="center"/>
      <protection/>
    </xf>
    <xf numFmtId="37" fontId="7" fillId="0" borderId="61" xfId="30" applyFont="1" applyFill="1" applyBorder="1" applyAlignment="1" applyProtection="1">
      <alignment vertical="center"/>
      <protection locked="0"/>
    </xf>
    <xf numFmtId="37" fontId="7" fillId="0" borderId="62" xfId="30" applyFont="1" applyFill="1" applyBorder="1" applyAlignment="1" applyProtection="1">
      <alignment vertical="center"/>
      <protection locked="0"/>
    </xf>
    <xf numFmtId="37" fontId="7" fillId="0" borderId="49" xfId="30" applyFont="1" applyFill="1" applyBorder="1" applyAlignment="1" applyProtection="1">
      <alignment vertical="center"/>
      <protection locked="0"/>
    </xf>
    <xf numFmtId="37" fontId="7" fillId="0" borderId="54" xfId="30" applyFont="1" applyFill="1" applyBorder="1" applyAlignment="1" applyProtection="1">
      <alignment vertical="center"/>
      <protection/>
    </xf>
    <xf numFmtId="37" fontId="7" fillId="0" borderId="49" xfId="30" applyFont="1" applyFill="1" applyBorder="1" applyAlignment="1" applyProtection="1">
      <alignment vertical="center"/>
      <protection/>
    </xf>
    <xf numFmtId="37" fontId="7" fillId="5" borderId="52" xfId="30" applyFont="1" applyFill="1" applyBorder="1" applyAlignment="1" applyProtection="1">
      <alignment horizontal="centerContinuous" vertical="center"/>
      <protection/>
    </xf>
    <xf numFmtId="37" fontId="7" fillId="5" borderId="51" xfId="30" applyFont="1" applyFill="1" applyBorder="1" applyAlignment="1">
      <alignment horizontal="centerContinuous" vertical="center"/>
      <protection/>
    </xf>
    <xf numFmtId="37" fontId="7" fillId="5" borderId="52" xfId="30" applyFont="1" applyFill="1" applyBorder="1" applyAlignment="1">
      <alignment vertical="center"/>
      <protection/>
    </xf>
    <xf numFmtId="37" fontId="7" fillId="5" borderId="1" xfId="30" applyFont="1" applyFill="1" applyBorder="1" applyAlignment="1" applyProtection="1">
      <alignment horizontal="centerContinuous" vertical="center"/>
      <protection/>
    </xf>
    <xf numFmtId="37" fontId="7" fillId="5" borderId="51" xfId="30" applyFont="1" applyFill="1" applyBorder="1" applyAlignment="1" applyProtection="1">
      <alignment horizontal="centerContinuous" vertical="center"/>
      <protection/>
    </xf>
    <xf numFmtId="37" fontId="7" fillId="5" borderId="1" xfId="30" applyFont="1" applyFill="1" applyBorder="1" applyAlignment="1">
      <alignment horizontal="center" vertical="center"/>
      <protection/>
    </xf>
    <xf numFmtId="37" fontId="7" fillId="5" borderId="53" xfId="30" applyFont="1" applyFill="1" applyBorder="1" applyAlignment="1" applyProtection="1">
      <alignment horizontal="center" vertical="center"/>
      <protection locked="0"/>
    </xf>
    <xf numFmtId="37" fontId="7" fillId="5" borderId="54" xfId="30" applyFont="1" applyFill="1" applyBorder="1" applyAlignment="1" applyProtection="1">
      <alignment horizontal="center" vertical="center"/>
      <protection/>
    </xf>
    <xf numFmtId="37" fontId="7" fillId="5" borderId="49" xfId="30" applyFont="1" applyFill="1" applyBorder="1" applyAlignment="1" applyProtection="1">
      <alignment horizontal="center" vertical="center"/>
      <protection locked="0"/>
    </xf>
    <xf numFmtId="37" fontId="7" fillId="5" borderId="49" xfId="30" applyFont="1" applyFill="1" applyBorder="1" applyAlignment="1" applyProtection="1">
      <alignment horizontal="centerContinuous" vertical="center"/>
      <protection/>
    </xf>
    <xf numFmtId="37" fontId="7" fillId="5" borderId="0" xfId="30" applyFont="1" applyFill="1" applyBorder="1" applyAlignment="1">
      <alignment horizontal="centerContinuous" vertical="center"/>
      <protection/>
    </xf>
    <xf numFmtId="37" fontId="7" fillId="5" borderId="49" xfId="30" applyFont="1" applyFill="1" applyBorder="1" applyAlignment="1" applyProtection="1">
      <alignment horizontal="center" vertical="center"/>
      <protection/>
    </xf>
    <xf numFmtId="37" fontId="7" fillId="5" borderId="55" xfId="30" applyFont="1" applyFill="1" applyBorder="1" applyAlignment="1" applyProtection="1">
      <alignment horizontal="center" vertical="center"/>
      <protection locked="0"/>
    </xf>
    <xf numFmtId="37" fontId="7" fillId="5" borderId="56" xfId="30" applyFont="1" applyFill="1" applyBorder="1" applyAlignment="1">
      <alignment vertical="center"/>
      <protection/>
    </xf>
    <xf numFmtId="49" fontId="7" fillId="5" borderId="2" xfId="30" applyNumberFormat="1" applyFont="1" applyFill="1" applyBorder="1" applyAlignment="1" applyProtection="1">
      <alignment horizontal="center" vertical="center"/>
      <protection locked="0"/>
    </xf>
    <xf numFmtId="37" fontId="7" fillId="5" borderId="57" xfId="30" applyFont="1" applyFill="1" applyBorder="1" applyAlignment="1" applyProtection="1">
      <alignment horizontal="center" vertical="center"/>
      <protection/>
    </xf>
    <xf numFmtId="37" fontId="7" fillId="5" borderId="58" xfId="30" applyFont="1" applyFill="1" applyBorder="1" applyAlignment="1" applyProtection="1">
      <alignment horizontal="center" vertical="center"/>
      <protection locked="0"/>
    </xf>
    <xf numFmtId="37" fontId="14" fillId="2" borderId="52" xfId="30" applyFont="1" applyFill="1" applyBorder="1" applyAlignment="1" applyProtection="1">
      <alignment horizontal="center" vertical="center"/>
      <protection locked="0"/>
    </xf>
    <xf numFmtId="37" fontId="14" fillId="2" borderId="1" xfId="30" applyFont="1" applyFill="1" applyBorder="1" applyAlignment="1" applyProtection="1">
      <alignment horizontal="center" vertical="center"/>
      <protection locked="0"/>
    </xf>
    <xf numFmtId="37" fontId="14" fillId="2" borderId="56" xfId="30" applyFont="1" applyFill="1" applyBorder="1" applyAlignment="1" applyProtection="1">
      <alignment horizontal="center" vertical="center"/>
      <protection locked="0"/>
    </xf>
    <xf numFmtId="37" fontId="14" fillId="2" borderId="2" xfId="30" applyFont="1" applyFill="1" applyBorder="1" applyAlignment="1" applyProtection="1">
      <alignment horizontal="center" vertical="center"/>
      <protection locked="0"/>
    </xf>
    <xf numFmtId="37" fontId="14" fillId="5" borderId="52" xfId="30" applyFont="1" applyFill="1" applyBorder="1" applyAlignment="1" applyProtection="1">
      <alignment horizontal="center" vertical="center"/>
      <protection locked="0"/>
    </xf>
    <xf numFmtId="37" fontId="14" fillId="5" borderId="1" xfId="30" applyFont="1" applyFill="1" applyBorder="1" applyAlignment="1" applyProtection="1">
      <alignment horizontal="center" vertical="center"/>
      <protection locked="0"/>
    </xf>
    <xf numFmtId="37" fontId="14" fillId="5" borderId="56" xfId="30" applyFont="1" applyFill="1" applyBorder="1" applyAlignment="1" applyProtection="1">
      <alignment horizontal="center" vertical="center"/>
      <protection locked="0"/>
    </xf>
    <xf numFmtId="37" fontId="14" fillId="5" borderId="2" xfId="30" applyFont="1" applyFill="1" applyBorder="1" applyAlignment="1" applyProtection="1">
      <alignment horizontal="center" vertical="center"/>
      <protection locked="0"/>
    </xf>
    <xf numFmtId="37" fontId="7" fillId="3" borderId="60" xfId="30" applyFont="1" applyFill="1" applyBorder="1" applyAlignment="1" applyProtection="1">
      <alignment vertical="center"/>
      <protection locked="0"/>
    </xf>
    <xf numFmtId="37" fontId="7" fillId="3" borderId="49" xfId="30" applyFont="1" applyFill="1" applyBorder="1" applyAlignment="1" applyProtection="1">
      <alignment vertical="center"/>
      <protection locked="0"/>
    </xf>
    <xf numFmtId="37" fontId="7" fillId="4" borderId="63" xfId="30" applyFont="1" applyFill="1" applyBorder="1" applyAlignment="1" applyProtection="1">
      <alignment vertical="center"/>
      <protection locked="0"/>
    </xf>
    <xf numFmtId="37" fontId="7" fillId="4" borderId="55" xfId="30" applyFont="1" applyFill="1" applyBorder="1" applyAlignment="1" applyProtection="1">
      <alignment vertical="center"/>
      <protection locked="0"/>
    </xf>
    <xf numFmtId="37" fontId="9" fillId="3" borderId="1" xfId="30" applyFont="1" applyFill="1" applyBorder="1" applyAlignment="1" applyProtection="1">
      <alignment vertical="center"/>
      <protection/>
    </xf>
    <xf numFmtId="37" fontId="9" fillId="4" borderId="64" xfId="30" applyFont="1" applyFill="1" applyBorder="1" applyAlignment="1" applyProtection="1">
      <alignment vertical="center"/>
      <protection/>
    </xf>
    <xf numFmtId="37" fontId="9" fillId="3" borderId="52" xfId="30" applyFont="1" applyFill="1" applyBorder="1" applyAlignment="1" applyProtection="1">
      <alignment vertical="center"/>
      <protection locked="0"/>
    </xf>
    <xf numFmtId="37" fontId="9" fillId="3" borderId="1" xfId="30" applyFont="1" applyFill="1" applyBorder="1" applyAlignment="1" applyProtection="1">
      <alignment vertical="center"/>
      <protection locked="0"/>
    </xf>
    <xf numFmtId="37" fontId="9" fillId="3" borderId="52" xfId="30" applyFont="1" applyFill="1" applyBorder="1" applyAlignment="1" applyProtection="1">
      <alignment vertical="center"/>
      <protection/>
    </xf>
    <xf numFmtId="37" fontId="9" fillId="3" borderId="53" xfId="30" applyFont="1" applyFill="1" applyBorder="1" applyAlignment="1" applyProtection="1">
      <alignment vertical="center"/>
      <protection locked="0"/>
    </xf>
    <xf numFmtId="37" fontId="1" fillId="0" borderId="0" xfId="30" applyFont="1" applyAlignment="1">
      <alignment vertical="center"/>
      <protection/>
    </xf>
    <xf numFmtId="37" fontId="9" fillId="0" borderId="65" xfId="30" applyFont="1" applyFill="1" applyBorder="1" applyAlignment="1" applyProtection="1">
      <alignment vertical="center"/>
      <protection locked="0"/>
    </xf>
    <xf numFmtId="37" fontId="9" fillId="0" borderId="57" xfId="30" applyFont="1" applyFill="1" applyBorder="1" applyAlignment="1" applyProtection="1">
      <alignment vertical="center"/>
      <protection locked="0"/>
    </xf>
    <xf numFmtId="37" fontId="9" fillId="0" borderId="65" xfId="30" applyFont="1" applyFill="1" applyBorder="1" applyAlignment="1" applyProtection="1">
      <alignment vertical="center"/>
      <protection/>
    </xf>
    <xf numFmtId="37" fontId="9" fillId="3" borderId="57" xfId="30" applyFont="1" applyFill="1" applyBorder="1" applyAlignment="1" applyProtection="1">
      <alignment vertical="center"/>
      <protection locked="0"/>
    </xf>
    <xf numFmtId="37" fontId="9" fillId="0" borderId="57" xfId="30" applyFont="1" applyFill="1" applyBorder="1" applyAlignment="1" applyProtection="1">
      <alignment vertical="center"/>
      <protection/>
    </xf>
    <xf numFmtId="37" fontId="9" fillId="4" borderId="66" xfId="30" applyFont="1" applyFill="1" applyBorder="1" applyAlignment="1" applyProtection="1">
      <alignment vertical="center"/>
      <protection locked="0"/>
    </xf>
    <xf numFmtId="37" fontId="9" fillId="4" borderId="67" xfId="30" applyFont="1" applyFill="1" applyBorder="1" applyAlignment="1" applyProtection="1">
      <alignment vertical="center"/>
      <protection locked="0"/>
    </xf>
    <xf numFmtId="37" fontId="1" fillId="4" borderId="68" xfId="30" applyFont="1" applyFill="1" applyBorder="1" applyAlignment="1">
      <alignment vertical="center"/>
      <protection/>
    </xf>
    <xf numFmtId="37" fontId="15" fillId="4" borderId="68" xfId="30" applyFont="1" applyFill="1" applyBorder="1" applyAlignment="1" applyProtection="1">
      <alignment vertical="center"/>
      <protection locked="0"/>
    </xf>
    <xf numFmtId="37" fontId="9" fillId="4" borderId="67" xfId="30" applyFont="1" applyFill="1" applyBorder="1" applyAlignment="1" applyProtection="1">
      <alignment vertical="center"/>
      <protection/>
    </xf>
    <xf numFmtId="37" fontId="9" fillId="4" borderId="64" xfId="30" applyFont="1" applyFill="1" applyBorder="1" applyAlignment="1" applyProtection="1">
      <alignment vertical="center"/>
      <protection locked="0"/>
    </xf>
    <xf numFmtId="37" fontId="9" fillId="4" borderId="69" xfId="30" applyFont="1" applyFill="1" applyBorder="1" applyAlignment="1" applyProtection="1">
      <alignment vertical="center"/>
      <protection locked="0"/>
    </xf>
    <xf numFmtId="37" fontId="9" fillId="0" borderId="67" xfId="30" applyFont="1" applyFill="1" applyBorder="1" applyAlignment="1" applyProtection="1">
      <alignment vertical="center"/>
      <protection locked="0"/>
    </xf>
    <xf numFmtId="37" fontId="9" fillId="0" borderId="64" xfId="30" applyFont="1" applyFill="1" applyBorder="1" applyAlignment="1" applyProtection="1">
      <alignment vertical="center"/>
      <protection locked="0"/>
    </xf>
    <xf numFmtId="37" fontId="9" fillId="0" borderId="67" xfId="30" applyFont="1" applyFill="1" applyBorder="1" applyAlignment="1" applyProtection="1">
      <alignment vertical="center"/>
      <protection/>
    </xf>
    <xf numFmtId="37" fontId="9" fillId="3" borderId="64" xfId="30" applyFont="1" applyFill="1" applyBorder="1" applyAlignment="1" applyProtection="1">
      <alignment vertical="center"/>
      <protection locked="0"/>
    </xf>
    <xf numFmtId="37" fontId="9" fillId="0" borderId="64" xfId="30" applyFont="1" applyFill="1" applyBorder="1" applyAlignment="1" applyProtection="1">
      <alignment vertical="center"/>
      <protection/>
    </xf>
    <xf numFmtId="37" fontId="9" fillId="3" borderId="60" xfId="30" applyFont="1" applyFill="1" applyBorder="1" applyAlignment="1" applyProtection="1">
      <alignment vertical="center"/>
      <protection locked="0"/>
    </xf>
    <xf numFmtId="37" fontId="9" fillId="3" borderId="49" xfId="30" applyFont="1" applyFill="1" applyBorder="1" applyAlignment="1" applyProtection="1">
      <alignment vertical="center"/>
      <protection locked="0"/>
    </xf>
    <xf numFmtId="37" fontId="12" fillId="0" borderId="16" xfId="29" applyFont="1" applyFill="1" applyBorder="1" applyAlignment="1">
      <alignment horizontal="centerContinuous" vertical="center"/>
      <protection/>
    </xf>
    <xf numFmtId="37" fontId="9" fillId="3" borderId="60" xfId="30" applyFont="1" applyFill="1" applyBorder="1" applyAlignment="1" applyProtection="1">
      <alignment vertical="center"/>
      <protection/>
    </xf>
    <xf numFmtId="37" fontId="9" fillId="3" borderId="49" xfId="30" applyFont="1" applyFill="1" applyBorder="1" applyAlignment="1" applyProtection="1">
      <alignment vertical="center"/>
      <protection/>
    </xf>
    <xf numFmtId="37" fontId="9" fillId="3" borderId="57" xfId="30" applyFont="1" applyFill="1" applyBorder="1" applyAlignment="1" applyProtection="1">
      <alignment vertical="center"/>
      <protection/>
    </xf>
    <xf numFmtId="37" fontId="9" fillId="3" borderId="64" xfId="30" applyFont="1" applyFill="1" applyBorder="1" applyAlignment="1" applyProtection="1">
      <alignment vertical="center"/>
      <protection/>
    </xf>
    <xf numFmtId="37" fontId="7" fillId="0" borderId="70" xfId="30" applyFont="1" applyFill="1" applyBorder="1" applyAlignment="1" applyProtection="1">
      <alignment vertical="center"/>
      <protection locked="0"/>
    </xf>
    <xf numFmtId="37" fontId="7" fillId="0" borderId="12" xfId="30" applyFont="1" applyFill="1" applyBorder="1" applyAlignment="1" applyProtection="1">
      <alignment vertical="center"/>
      <protection locked="0"/>
    </xf>
    <xf numFmtId="37" fontId="7" fillId="0" borderId="12" xfId="30" applyFont="1" applyFill="1" applyBorder="1" applyAlignment="1" applyProtection="1" quotePrefix="1">
      <alignment horizontal="left" vertical="center"/>
      <protection locked="0"/>
    </xf>
    <xf numFmtId="37" fontId="9" fillId="4" borderId="29" xfId="29" applyFont="1" applyFill="1" applyBorder="1" applyAlignment="1">
      <alignment horizontal="center" vertical="center"/>
      <protection/>
    </xf>
    <xf numFmtId="37" fontId="9" fillId="4" borderId="14" xfId="29" applyFont="1" applyFill="1" applyBorder="1" applyAlignment="1" applyProtection="1">
      <alignment vertical="center"/>
      <protection locked="0"/>
    </xf>
    <xf numFmtId="37" fontId="9" fillId="0" borderId="71" xfId="30" applyFont="1" applyFill="1" applyBorder="1" applyAlignment="1" applyProtection="1">
      <alignment horizontal="centerContinuous" vertical="center"/>
      <protection/>
    </xf>
    <xf numFmtId="37" fontId="1" fillId="0" borderId="0" xfId="30" applyFont="1" applyBorder="1" applyAlignment="1">
      <alignment horizontal="centerContinuous" vertical="center"/>
      <protection/>
    </xf>
    <xf numFmtId="37" fontId="1" fillId="0" borderId="0" xfId="30" applyFont="1" applyBorder="1" applyAlignment="1">
      <alignment horizontal="centerContinuous" vertical="center"/>
      <protection/>
    </xf>
    <xf numFmtId="37" fontId="0" fillId="0" borderId="71" xfId="28" applyFont="1" applyFill="1" applyBorder="1" applyAlignment="1" applyProtection="1">
      <alignment horizontal="left" vertical="center"/>
      <protection/>
    </xf>
    <xf numFmtId="37" fontId="0" fillId="0" borderId="38" xfId="28" applyFont="1" applyFill="1" applyBorder="1" applyAlignment="1" applyProtection="1">
      <alignment horizontal="left" vertical="center"/>
      <protection/>
    </xf>
    <xf numFmtId="37" fontId="0" fillId="0" borderId="38" xfId="30" applyFont="1" applyBorder="1" applyAlignment="1" applyProtection="1">
      <alignment horizontal="center" vertical="center"/>
      <protection/>
    </xf>
    <xf numFmtId="37" fontId="0" fillId="0" borderId="38" xfId="30" applyFont="1" applyBorder="1" applyAlignment="1" applyProtection="1">
      <alignment horizontal="left" vertical="center"/>
      <protection/>
    </xf>
    <xf numFmtId="37" fontId="7" fillId="0" borderId="37" xfId="28" applyFont="1" applyFill="1" applyBorder="1" applyAlignment="1" applyProtection="1">
      <alignment horizontal="right" vertical="center"/>
      <protection/>
    </xf>
    <xf numFmtId="37" fontId="9" fillId="3" borderId="71" xfId="29" applyFont="1" applyFill="1" applyBorder="1" applyAlignment="1" applyProtection="1">
      <alignment horizontal="centerContinuous" vertical="center"/>
      <protection locked="0"/>
    </xf>
    <xf numFmtId="37" fontId="9" fillId="3" borderId="37" xfId="29" applyFont="1" applyFill="1" applyBorder="1" applyAlignment="1" applyProtection="1">
      <alignment horizontal="centerContinuous" vertical="center"/>
      <protection locked="0"/>
    </xf>
    <xf numFmtId="37" fontId="12" fillId="0" borderId="4" xfId="29" applyFont="1" applyFill="1" applyBorder="1" applyAlignment="1">
      <alignment horizontal="centerContinuous" vertical="center" wrapText="1"/>
      <protection/>
    </xf>
    <xf numFmtId="37" fontId="11" fillId="5" borderId="12" xfId="28" applyFont="1" applyFill="1" applyBorder="1" applyAlignment="1" applyProtection="1">
      <alignment horizontal="center" vertical="center"/>
      <protection/>
    </xf>
    <xf numFmtId="37" fontId="11" fillId="5" borderId="48" xfId="28" applyFont="1" applyFill="1" applyBorder="1" applyAlignment="1" applyProtection="1">
      <alignment horizontal="centerContinuous" vertical="center"/>
      <protection/>
    </xf>
    <xf numFmtId="37" fontId="11" fillId="5" borderId="72" xfId="28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1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7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16" fillId="0" borderId="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7" fontId="0" fillId="2" borderId="33" xfId="30" applyFont="1" applyFill="1" applyBorder="1" applyAlignment="1">
      <alignment vertical="center"/>
      <protection/>
    </xf>
    <xf numFmtId="37" fontId="0" fillId="2" borderId="34" xfId="30" applyFont="1" applyFill="1" applyBorder="1" applyAlignment="1">
      <alignment vertical="center"/>
      <protection/>
    </xf>
    <xf numFmtId="37" fontId="18" fillId="2" borderId="32" xfId="30" applyFont="1" applyFill="1" applyBorder="1" applyAlignment="1">
      <alignment vertical="center"/>
      <protection/>
    </xf>
    <xf numFmtId="37" fontId="17" fillId="2" borderId="32" xfId="30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180" fontId="9" fillId="7" borderId="31" xfId="29" applyNumberFormat="1" applyFont="1" applyFill="1" applyBorder="1" applyAlignment="1" applyProtection="1">
      <alignment horizontal="centerContinuous" vertical="center"/>
      <protection locked="0"/>
    </xf>
    <xf numFmtId="37" fontId="12" fillId="0" borderId="0" xfId="29" applyFont="1" applyFill="1" applyBorder="1" applyAlignment="1">
      <alignment horizontal="centerContinuous" vertical="center" wrapText="1"/>
      <protection/>
    </xf>
    <xf numFmtId="49" fontId="9" fillId="3" borderId="35" xfId="28" applyNumberFormat="1" applyFont="1" applyFill="1" applyBorder="1" applyAlignment="1" applyProtection="1">
      <alignment horizontal="center" vertical="center"/>
      <protection/>
    </xf>
    <xf numFmtId="49" fontId="9" fillId="3" borderId="36" xfId="28" applyNumberFormat="1" applyFont="1" applyFill="1" applyBorder="1" applyAlignment="1" applyProtection="1">
      <alignment horizontal="center" vertical="center"/>
      <protection/>
    </xf>
    <xf numFmtId="37" fontId="9" fillId="3" borderId="73" xfId="28" applyFont="1" applyFill="1" applyBorder="1" applyAlignment="1" applyProtection="1">
      <alignment vertical="center" wrapText="1"/>
      <protection/>
    </xf>
    <xf numFmtId="37" fontId="9" fillId="3" borderId="35" xfId="28" applyFont="1" applyFill="1" applyBorder="1" applyAlignment="1" applyProtection="1">
      <alignment vertical="center"/>
      <protection/>
    </xf>
    <xf numFmtId="37" fontId="9" fillId="3" borderId="36" xfId="28" applyFont="1" applyFill="1" applyBorder="1" applyAlignment="1" applyProtection="1">
      <alignment vertical="center"/>
      <protection/>
    </xf>
    <xf numFmtId="37" fontId="9" fillId="3" borderId="73" xfId="28" applyFont="1" applyFill="1" applyBorder="1" applyAlignment="1" applyProtection="1">
      <alignment vertical="center"/>
      <protection/>
    </xf>
    <xf numFmtId="37" fontId="9" fillId="3" borderId="36" xfId="28" applyFont="1" applyFill="1" applyBorder="1" applyAlignment="1" applyProtection="1">
      <alignment vertical="center"/>
      <protection locked="0"/>
    </xf>
    <xf numFmtId="37" fontId="9" fillId="4" borderId="36" xfId="28" applyFont="1" applyFill="1" applyBorder="1" applyAlignment="1" applyProtection="1">
      <alignment vertical="center"/>
      <protection/>
    </xf>
    <xf numFmtId="37" fontId="9" fillId="4" borderId="73" xfId="28" applyFont="1" applyFill="1" applyBorder="1" applyAlignment="1" applyProtection="1">
      <alignment vertical="center"/>
      <protection/>
    </xf>
    <xf numFmtId="3" fontId="21" fillId="0" borderId="0" xfId="0" applyNumberFormat="1" applyFont="1" applyAlignment="1">
      <alignment horizontal="justify" vertical="center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justify"/>
    </xf>
    <xf numFmtId="3" fontId="2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justify"/>
    </xf>
    <xf numFmtId="3" fontId="21" fillId="0" borderId="12" xfId="0" applyNumberFormat="1" applyFont="1" applyBorder="1" applyAlignment="1">
      <alignment/>
    </xf>
    <xf numFmtId="3" fontId="12" fillId="4" borderId="12" xfId="0" applyNumberFormat="1" applyFont="1" applyFill="1" applyBorder="1" applyAlignment="1">
      <alignment horizontal="justify"/>
    </xf>
    <xf numFmtId="3" fontId="21" fillId="4" borderId="12" xfId="0" applyNumberFormat="1" applyFont="1" applyFill="1" applyBorder="1" applyAlignment="1">
      <alignment/>
    </xf>
    <xf numFmtId="3" fontId="21" fillId="8" borderId="12" xfId="0" applyNumberFormat="1" applyFont="1" applyFill="1" applyBorder="1" applyAlignment="1">
      <alignment horizontal="justify" vertical="center"/>
    </xf>
    <xf numFmtId="3" fontId="21" fillId="8" borderId="12" xfId="0" applyNumberFormat="1" applyFont="1" applyFill="1" applyBorder="1" applyAlignment="1">
      <alignment/>
    </xf>
    <xf numFmtId="3" fontId="21" fillId="8" borderId="0" xfId="0" applyNumberFormat="1" applyFont="1" applyFill="1" applyAlignment="1">
      <alignment/>
    </xf>
    <xf numFmtId="3" fontId="12" fillId="2" borderId="12" xfId="0" applyNumberFormat="1" applyFont="1" applyFill="1" applyBorder="1" applyAlignment="1">
      <alignment horizontal="center" vertical="center"/>
    </xf>
    <xf numFmtId="3" fontId="21" fillId="2" borderId="12" xfId="0" applyNumberFormat="1" applyFont="1" applyFill="1" applyBorder="1" applyAlignment="1">
      <alignment horizontal="justify" vertical="center"/>
    </xf>
    <xf numFmtId="3" fontId="12" fillId="2" borderId="12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justify"/>
    </xf>
    <xf numFmtId="3" fontId="21" fillId="0" borderId="0" xfId="0" applyNumberFormat="1" applyFont="1" applyBorder="1" applyAlignment="1">
      <alignment/>
    </xf>
    <xf numFmtId="3" fontId="21" fillId="2" borderId="12" xfId="0" applyNumberFormat="1" applyFont="1" applyFill="1" applyBorder="1" applyAlignment="1">
      <alignment horizontal="justify"/>
    </xf>
    <xf numFmtId="3" fontId="21" fillId="2" borderId="12" xfId="0" applyNumberFormat="1" applyFont="1" applyFill="1" applyBorder="1" applyAlignment="1">
      <alignment/>
    </xf>
    <xf numFmtId="0" fontId="21" fillId="0" borderId="0" xfId="0" applyNumberFormat="1" applyFont="1" applyAlignment="1">
      <alignment horizontal="right"/>
    </xf>
    <xf numFmtId="0" fontId="21" fillId="2" borderId="12" xfId="0" applyNumberFormat="1" applyFont="1" applyFill="1" applyBorder="1" applyAlignment="1">
      <alignment horizontal="right" vertical="center"/>
    </xf>
    <xf numFmtId="0" fontId="21" fillId="0" borderId="12" xfId="0" applyNumberFormat="1" applyFont="1" applyBorder="1" applyAlignment="1">
      <alignment horizontal="right"/>
    </xf>
    <xf numFmtId="0" fontId="21" fillId="2" borderId="12" xfId="0" applyNumberFormat="1" applyFont="1" applyFill="1" applyBorder="1" applyAlignment="1">
      <alignment horizontal="right"/>
    </xf>
    <xf numFmtId="0" fontId="21" fillId="4" borderId="12" xfId="0" applyNumberFormat="1" applyFont="1" applyFill="1" applyBorder="1" applyAlignment="1">
      <alignment horizontal="right"/>
    </xf>
    <xf numFmtId="3" fontId="21" fillId="2" borderId="2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7" fontId="9" fillId="3" borderId="15" xfId="29" applyFont="1" applyFill="1" applyBorder="1" applyAlignment="1" applyProtection="1">
      <alignment horizontal="center" vertical="center"/>
      <protection locked="0"/>
    </xf>
    <xf numFmtId="37" fontId="9" fillId="3" borderId="17" xfId="29" applyFont="1" applyFill="1" applyBorder="1" applyAlignment="1" applyProtection="1">
      <alignment horizontal="center" vertical="center"/>
      <protection locked="0"/>
    </xf>
    <xf numFmtId="180" fontId="9" fillId="3" borderId="3" xfId="29" applyNumberFormat="1" applyFont="1" applyFill="1" applyBorder="1" applyAlignment="1" applyProtection="1">
      <alignment horizontal="center" vertical="center"/>
      <protection locked="0"/>
    </xf>
    <xf numFmtId="180" fontId="9" fillId="3" borderId="5" xfId="29" applyNumberFormat="1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Followed Hyperlink" xfId="23"/>
    <cellStyle name="Comma" xfId="24"/>
    <cellStyle name="Comma [0]" xfId="25"/>
    <cellStyle name="Currency" xfId="26"/>
    <cellStyle name="Currency [0]" xfId="27"/>
    <cellStyle name="Normal_GASTOS" xfId="28"/>
    <cellStyle name="Normal_INGRESOS" xfId="29"/>
    <cellStyle name="Normal_PAC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2552700</xdr:colOff>
      <xdr:row>1</xdr:row>
      <xdr:rowOff>200025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25622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5</xdr:col>
      <xdr:colOff>247650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00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6</xdr:col>
      <xdr:colOff>142875</xdr:colOff>
      <xdr:row>2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085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6</xdr:col>
      <xdr:colOff>2428875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37242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76200</xdr:rowOff>
    </xdr:from>
    <xdr:to>
      <xdr:col>6</xdr:col>
      <xdr:colOff>2124075</xdr:colOff>
      <xdr:row>1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"/>
          <a:ext cx="36480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0</xdr:col>
      <xdr:colOff>552450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49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847725</xdr:colOff>
      <xdr:row>6</xdr:row>
      <xdr:rowOff>0</xdr:rowOff>
    </xdr:from>
    <xdr:to>
      <xdr:col>4</xdr:col>
      <xdr:colOff>9525</xdr:colOff>
      <xdr:row>7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19175"/>
          <a:ext cx="7810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rmtc4xx\Mis%20documentos\Mis%20Documentos\Contralor&#237;a\Contralor&#237;a%20Rendici&#243;n%20Cuenta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PAC"/>
      <sheetName val="Reservas Presupuestales"/>
      <sheetName val="Cuentas por Pagar"/>
      <sheetName val="VIGILANCIA FIS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34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6.7109375" defaultRowHeight="12.75"/>
  <cols>
    <col min="1" max="1" width="5.7109375" style="3" customWidth="1"/>
    <col min="2" max="2" width="43.00390625" style="3" customWidth="1"/>
    <col min="3" max="3" width="7.8515625" style="3" customWidth="1"/>
    <col min="4" max="17" width="17.7109375" style="3" customWidth="1"/>
    <col min="18" max="18" width="16.57421875" style="3" customWidth="1"/>
    <col min="19" max="22" width="17.7109375" style="3" customWidth="1"/>
    <col min="23" max="23" width="16.57421875" style="3" customWidth="1"/>
    <col min="24" max="25" width="17.7109375" style="3" customWidth="1"/>
    <col min="26" max="16384" width="16.7109375" style="3" customWidth="1"/>
  </cols>
  <sheetData>
    <row r="1" spans="1:25" ht="24" customHeight="1">
      <c r="A1" s="27"/>
      <c r="B1" s="28"/>
      <c r="C1" s="29"/>
      <c r="D1" s="30" t="s">
        <v>0</v>
      </c>
      <c r="E1" s="31" t="s">
        <v>1</v>
      </c>
      <c r="F1" s="32"/>
      <c r="G1" s="33" t="s">
        <v>2</v>
      </c>
      <c r="H1" s="58" t="s">
        <v>0</v>
      </c>
      <c r="I1" s="59" t="s">
        <v>1</v>
      </c>
      <c r="J1" s="60"/>
      <c r="K1" s="86" t="s">
        <v>2</v>
      </c>
      <c r="L1" s="88" t="s">
        <v>3</v>
      </c>
      <c r="M1" s="89" t="s">
        <v>4</v>
      </c>
      <c r="N1" s="89" t="s">
        <v>5</v>
      </c>
      <c r="O1" s="89" t="s">
        <v>6</v>
      </c>
      <c r="P1" s="89" t="s">
        <v>7</v>
      </c>
      <c r="Q1" s="89" t="s">
        <v>8</v>
      </c>
      <c r="R1" s="89" t="s">
        <v>9</v>
      </c>
      <c r="S1" s="89" t="s">
        <v>10</v>
      </c>
      <c r="T1" s="89" t="s">
        <v>11</v>
      </c>
      <c r="U1" s="89" t="s">
        <v>12</v>
      </c>
      <c r="V1" s="89" t="s">
        <v>13</v>
      </c>
      <c r="W1" s="89" t="s">
        <v>14</v>
      </c>
      <c r="X1" s="253" t="s">
        <v>15</v>
      </c>
      <c r="Y1" s="255" t="s">
        <v>16</v>
      </c>
    </row>
    <row r="2" spans="1:25" ht="24" customHeight="1" thickBot="1">
      <c r="A2" s="4"/>
      <c r="B2" s="5"/>
      <c r="C2" s="6"/>
      <c r="D2" s="7" t="s">
        <v>17</v>
      </c>
      <c r="E2" s="8" t="s">
        <v>265</v>
      </c>
      <c r="F2" s="9"/>
      <c r="G2" s="18" t="s">
        <v>18</v>
      </c>
      <c r="H2" s="61" t="s">
        <v>17</v>
      </c>
      <c r="I2" s="62"/>
      <c r="J2" s="63"/>
      <c r="K2" s="87" t="s">
        <v>18</v>
      </c>
      <c r="L2" s="90">
        <v>2002</v>
      </c>
      <c r="M2" s="91">
        <v>2002</v>
      </c>
      <c r="N2" s="91">
        <v>2002</v>
      </c>
      <c r="O2" s="91">
        <v>2002</v>
      </c>
      <c r="P2" s="91">
        <v>2002</v>
      </c>
      <c r="Q2" s="91">
        <v>2002</v>
      </c>
      <c r="R2" s="91">
        <v>2002</v>
      </c>
      <c r="S2" s="91">
        <v>2002</v>
      </c>
      <c r="T2" s="91">
        <v>2002</v>
      </c>
      <c r="U2" s="91">
        <v>2002</v>
      </c>
      <c r="V2" s="91">
        <v>2002</v>
      </c>
      <c r="W2" s="91">
        <v>2002</v>
      </c>
      <c r="X2" s="254">
        <v>2002</v>
      </c>
      <c r="Y2" s="256">
        <f ca="1">TODAY()-3</f>
        <v>37834</v>
      </c>
    </row>
    <row r="3" spans="1:25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thickBot="1">
      <c r="A4" s="44"/>
      <c r="B4" s="45"/>
      <c r="C4" s="65"/>
      <c r="D4" s="68" t="s">
        <v>20</v>
      </c>
      <c r="E4" s="64" t="s">
        <v>21</v>
      </c>
      <c r="F4" s="64"/>
      <c r="G4" s="47" t="s">
        <v>20</v>
      </c>
      <c r="H4" s="68" t="s">
        <v>20</v>
      </c>
      <c r="I4" s="64" t="s">
        <v>21</v>
      </c>
      <c r="J4" s="64"/>
      <c r="K4" s="47" t="s">
        <v>20</v>
      </c>
      <c r="L4" s="68" t="s">
        <v>22</v>
      </c>
      <c r="M4" s="46" t="s">
        <v>22</v>
      </c>
      <c r="N4" s="46" t="s">
        <v>22</v>
      </c>
      <c r="O4" s="46" t="s">
        <v>22</v>
      </c>
      <c r="P4" s="46" t="s">
        <v>22</v>
      </c>
      <c r="Q4" s="46" t="s">
        <v>22</v>
      </c>
      <c r="R4" s="46" t="s">
        <v>22</v>
      </c>
      <c r="S4" s="46" t="s">
        <v>22</v>
      </c>
      <c r="T4" s="46" t="s">
        <v>22</v>
      </c>
      <c r="U4" s="46" t="s">
        <v>22</v>
      </c>
      <c r="V4" s="46" t="s">
        <v>22</v>
      </c>
      <c r="W4" s="46" t="s">
        <v>22</v>
      </c>
      <c r="X4" s="47" t="s">
        <v>23</v>
      </c>
      <c r="Y4" s="47" t="s">
        <v>24</v>
      </c>
    </row>
    <row r="5" spans="1:25" ht="12.75">
      <c r="A5" s="48" t="s">
        <v>25</v>
      </c>
      <c r="B5" s="49" t="s">
        <v>26</v>
      </c>
      <c r="C5" s="66" t="s">
        <v>27</v>
      </c>
      <c r="D5" s="48" t="s">
        <v>28</v>
      </c>
      <c r="E5" s="49" t="s">
        <v>29</v>
      </c>
      <c r="F5" s="49" t="s">
        <v>30</v>
      </c>
      <c r="G5" s="69" t="s">
        <v>31</v>
      </c>
      <c r="H5" s="48" t="s">
        <v>28</v>
      </c>
      <c r="I5" s="49" t="s">
        <v>29</v>
      </c>
      <c r="J5" s="49" t="s">
        <v>30</v>
      </c>
      <c r="K5" s="69" t="s">
        <v>31</v>
      </c>
      <c r="L5" s="48" t="s">
        <v>3</v>
      </c>
      <c r="M5" s="49" t="s">
        <v>4</v>
      </c>
      <c r="N5" s="49" t="s">
        <v>5</v>
      </c>
      <c r="O5" s="49" t="s">
        <v>6</v>
      </c>
      <c r="P5" s="49" t="s">
        <v>7</v>
      </c>
      <c r="Q5" s="49" t="s">
        <v>8</v>
      </c>
      <c r="R5" s="49" t="s">
        <v>9</v>
      </c>
      <c r="S5" s="49" t="s">
        <v>10</v>
      </c>
      <c r="T5" s="49" t="s">
        <v>11</v>
      </c>
      <c r="U5" s="49" t="s">
        <v>12</v>
      </c>
      <c r="V5" s="49" t="s">
        <v>13</v>
      </c>
      <c r="W5" s="49" t="s">
        <v>14</v>
      </c>
      <c r="X5" s="69" t="s">
        <v>32</v>
      </c>
      <c r="Y5" s="50"/>
    </row>
    <row r="6" spans="1:25" ht="13.5" thickBot="1">
      <c r="A6" s="51"/>
      <c r="B6" s="52"/>
      <c r="C6" s="67" t="s">
        <v>33</v>
      </c>
      <c r="D6" s="70" t="s">
        <v>34</v>
      </c>
      <c r="E6" s="53" t="s">
        <v>35</v>
      </c>
      <c r="F6" s="53" t="s">
        <v>36</v>
      </c>
      <c r="G6" s="54" t="s">
        <v>37</v>
      </c>
      <c r="H6" s="70" t="s">
        <v>34</v>
      </c>
      <c r="I6" s="53" t="s">
        <v>35</v>
      </c>
      <c r="J6" s="53" t="s">
        <v>36</v>
      </c>
      <c r="K6" s="54" t="s">
        <v>37</v>
      </c>
      <c r="L6" s="70" t="s">
        <v>38</v>
      </c>
      <c r="M6" s="53" t="s">
        <v>38</v>
      </c>
      <c r="N6" s="53" t="s">
        <v>38</v>
      </c>
      <c r="O6" s="53" t="s">
        <v>38</v>
      </c>
      <c r="P6" s="53" t="s">
        <v>38</v>
      </c>
      <c r="Q6" s="53" t="s">
        <v>38</v>
      </c>
      <c r="R6" s="53" t="s">
        <v>38</v>
      </c>
      <c r="S6" s="53" t="s">
        <v>38</v>
      </c>
      <c r="T6" s="53" t="s">
        <v>38</v>
      </c>
      <c r="U6" s="53" t="s">
        <v>38</v>
      </c>
      <c r="V6" s="53" t="s">
        <v>38</v>
      </c>
      <c r="W6" s="53" t="s">
        <v>38</v>
      </c>
      <c r="X6" s="54" t="s">
        <v>39</v>
      </c>
      <c r="Y6" s="54" t="s">
        <v>40</v>
      </c>
    </row>
    <row r="7" spans="1:25" ht="15" customHeight="1">
      <c r="A7" s="55" t="s">
        <v>41</v>
      </c>
      <c r="B7" s="56" t="s">
        <v>42</v>
      </c>
      <c r="C7" s="57"/>
      <c r="D7" s="71">
        <f aca="true" t="shared" si="0" ref="D7:S7">+D8+D21</f>
        <v>126528825769</v>
      </c>
      <c r="E7" s="56">
        <f t="shared" si="0"/>
        <v>3886400000</v>
      </c>
      <c r="F7" s="56">
        <f t="shared" si="0"/>
        <v>0</v>
      </c>
      <c r="G7" s="57">
        <f t="shared" si="0"/>
        <v>130415225769</v>
      </c>
      <c r="H7" s="71">
        <f t="shared" si="0"/>
        <v>126800678140</v>
      </c>
      <c r="I7" s="56">
        <f t="shared" si="0"/>
        <v>3886400000</v>
      </c>
      <c r="J7" s="56">
        <f t="shared" si="0"/>
        <v>-271852371</v>
      </c>
      <c r="K7" s="57">
        <f>+K8+K21</f>
        <v>130415225769</v>
      </c>
      <c r="L7" s="71">
        <f t="shared" si="0"/>
        <v>8242531120</v>
      </c>
      <c r="M7" s="56">
        <f t="shared" si="0"/>
        <v>8218587691</v>
      </c>
      <c r="N7" s="56">
        <f t="shared" si="0"/>
        <v>7943018528</v>
      </c>
      <c r="O7" s="56">
        <f t="shared" si="0"/>
        <v>9502554937</v>
      </c>
      <c r="P7" s="56">
        <f t="shared" si="0"/>
        <v>9966026580</v>
      </c>
      <c r="Q7" s="56">
        <f t="shared" si="0"/>
        <v>10911912041</v>
      </c>
      <c r="R7" s="56">
        <f t="shared" si="0"/>
        <v>10564704854</v>
      </c>
      <c r="S7" s="56">
        <f t="shared" si="0"/>
        <v>9400165990</v>
      </c>
      <c r="T7" s="56">
        <f aca="true" t="shared" si="1" ref="T7:Y7">+T8+T21</f>
        <v>9810725737</v>
      </c>
      <c r="U7" s="56">
        <f t="shared" si="1"/>
        <v>9670249703</v>
      </c>
      <c r="V7" s="56">
        <f t="shared" si="1"/>
        <v>9244987253</v>
      </c>
      <c r="W7" s="56">
        <f>+W8+W21</f>
        <v>14461956512</v>
      </c>
      <c r="X7" s="57">
        <f t="shared" si="1"/>
        <v>117937420946</v>
      </c>
      <c r="Y7" s="57">
        <f t="shared" si="1"/>
        <v>12477804823</v>
      </c>
    </row>
    <row r="8" spans="1:25" ht="15" customHeight="1">
      <c r="A8" s="41" t="s">
        <v>43</v>
      </c>
      <c r="B8" s="42" t="s">
        <v>44</v>
      </c>
      <c r="C8" s="43"/>
      <c r="D8" s="72">
        <f aca="true" t="shared" si="2" ref="D8:S8">+D9+D12</f>
        <v>88571625769</v>
      </c>
      <c r="E8" s="42">
        <f t="shared" si="2"/>
        <v>840300000</v>
      </c>
      <c r="F8" s="42">
        <f t="shared" si="2"/>
        <v>0</v>
      </c>
      <c r="G8" s="73">
        <f t="shared" si="2"/>
        <v>89411925769</v>
      </c>
      <c r="H8" s="72">
        <f t="shared" si="2"/>
        <v>88843478140</v>
      </c>
      <c r="I8" s="42">
        <f t="shared" si="2"/>
        <v>840300000</v>
      </c>
      <c r="J8" s="42">
        <f t="shared" si="2"/>
        <v>-271852371</v>
      </c>
      <c r="K8" s="73">
        <f>+K9+K12</f>
        <v>89411925769</v>
      </c>
      <c r="L8" s="72">
        <f t="shared" si="2"/>
        <v>5811837402</v>
      </c>
      <c r="M8" s="42">
        <f t="shared" si="2"/>
        <v>5686282768</v>
      </c>
      <c r="N8" s="42">
        <f t="shared" si="2"/>
        <v>5596821223</v>
      </c>
      <c r="O8" s="42">
        <f t="shared" si="2"/>
        <v>6724042381</v>
      </c>
      <c r="P8" s="42">
        <f t="shared" si="2"/>
        <v>6553699645</v>
      </c>
      <c r="Q8" s="42">
        <f t="shared" si="2"/>
        <v>6664861840</v>
      </c>
      <c r="R8" s="42">
        <f t="shared" si="2"/>
        <v>7499585681</v>
      </c>
      <c r="S8" s="42">
        <f t="shared" si="2"/>
        <v>6623661295</v>
      </c>
      <c r="T8" s="42">
        <f aca="true" t="shared" si="3" ref="T8:Y8">+T9+T12</f>
        <v>6920638434</v>
      </c>
      <c r="U8" s="42">
        <f t="shared" si="3"/>
        <v>6861620157</v>
      </c>
      <c r="V8" s="42">
        <f t="shared" si="3"/>
        <v>6524315262</v>
      </c>
      <c r="W8" s="42">
        <f t="shared" si="3"/>
        <v>8349608428</v>
      </c>
      <c r="X8" s="73">
        <f t="shared" si="3"/>
        <v>79816974516</v>
      </c>
      <c r="Y8" s="43">
        <f t="shared" si="3"/>
        <v>9594951253</v>
      </c>
    </row>
    <row r="9" spans="1:25" ht="15" customHeight="1">
      <c r="A9" s="11" t="s">
        <v>45</v>
      </c>
      <c r="B9" s="12" t="s">
        <v>46</v>
      </c>
      <c r="C9" s="13"/>
      <c r="D9" s="74">
        <f aca="true" t="shared" si="4" ref="D9:S9">SUM(D10:D11)</f>
        <v>0</v>
      </c>
      <c r="E9" s="12">
        <f t="shared" si="4"/>
        <v>0</v>
      </c>
      <c r="F9" s="12">
        <f t="shared" si="4"/>
        <v>0</v>
      </c>
      <c r="G9" s="75">
        <f t="shared" si="4"/>
        <v>0</v>
      </c>
      <c r="H9" s="74">
        <f t="shared" si="4"/>
        <v>0</v>
      </c>
      <c r="I9" s="12">
        <f t="shared" si="4"/>
        <v>0</v>
      </c>
      <c r="J9" s="12">
        <f t="shared" si="4"/>
        <v>0</v>
      </c>
      <c r="K9" s="75">
        <f>SUM(K10:K11)</f>
        <v>0</v>
      </c>
      <c r="L9" s="74">
        <f t="shared" si="4"/>
        <v>0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 t="shared" si="4"/>
        <v>0</v>
      </c>
      <c r="Q9" s="12">
        <f t="shared" si="4"/>
        <v>0</v>
      </c>
      <c r="R9" s="12">
        <f t="shared" si="4"/>
        <v>0</v>
      </c>
      <c r="S9" s="12">
        <f t="shared" si="4"/>
        <v>0</v>
      </c>
      <c r="T9" s="12">
        <f aca="true" t="shared" si="5" ref="T9:Y9">SUM(T10:T11)</f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82">
        <f t="shared" si="5"/>
        <v>0</v>
      </c>
      <c r="Y9" s="13">
        <f t="shared" si="5"/>
        <v>0</v>
      </c>
    </row>
    <row r="10" spans="1:25" ht="15" customHeight="1">
      <c r="A10" s="11" t="s">
        <v>47</v>
      </c>
      <c r="B10" s="12" t="s">
        <v>48</v>
      </c>
      <c r="C10" s="13"/>
      <c r="D10" s="76">
        <v>0</v>
      </c>
      <c r="E10" s="14">
        <v>0</v>
      </c>
      <c r="F10" s="14">
        <v>0</v>
      </c>
      <c r="G10" s="75">
        <f>SUM(D10:F10)</f>
        <v>0</v>
      </c>
      <c r="H10" s="76">
        <v>0</v>
      </c>
      <c r="I10" s="14">
        <v>0</v>
      </c>
      <c r="J10" s="14">
        <v>0</v>
      </c>
      <c r="K10" s="75">
        <f>SUM(H10:J10)</f>
        <v>0</v>
      </c>
      <c r="L10" s="76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82">
        <f>W10-V10</f>
        <v>0</v>
      </c>
      <c r="Y10" s="13">
        <f>+K10-X10</f>
        <v>0</v>
      </c>
    </row>
    <row r="11" spans="1:25" ht="15" customHeight="1">
      <c r="A11" s="11" t="s">
        <v>49</v>
      </c>
      <c r="B11" s="12" t="s">
        <v>50</v>
      </c>
      <c r="C11" s="13"/>
      <c r="D11" s="76">
        <v>0</v>
      </c>
      <c r="E11" s="14">
        <v>0</v>
      </c>
      <c r="F11" s="14">
        <v>0</v>
      </c>
      <c r="G11" s="75">
        <f>SUM(D11:F11)</f>
        <v>0</v>
      </c>
      <c r="H11" s="76">
        <v>0</v>
      </c>
      <c r="I11" s="14">
        <v>0</v>
      </c>
      <c r="J11" s="14">
        <v>0</v>
      </c>
      <c r="K11" s="75">
        <f>SUM(H11:J11)</f>
        <v>0</v>
      </c>
      <c r="L11" s="76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82">
        <f>W11-V11</f>
        <v>0</v>
      </c>
      <c r="Y11" s="13">
        <f>+K11-X11</f>
        <v>0</v>
      </c>
    </row>
    <row r="12" spans="1:25" ht="15" customHeight="1">
      <c r="A12" s="11" t="s">
        <v>51</v>
      </c>
      <c r="B12" s="12" t="s">
        <v>52</v>
      </c>
      <c r="C12" s="13"/>
      <c r="D12" s="74">
        <f aca="true" t="shared" si="6" ref="D12:S12">SUM(D13:D20)</f>
        <v>88571625769</v>
      </c>
      <c r="E12" s="12">
        <f t="shared" si="6"/>
        <v>840300000</v>
      </c>
      <c r="F12" s="12">
        <f t="shared" si="6"/>
        <v>0</v>
      </c>
      <c r="G12" s="75">
        <f t="shared" si="6"/>
        <v>89411925769</v>
      </c>
      <c r="H12" s="74">
        <f t="shared" si="6"/>
        <v>88843478140</v>
      </c>
      <c r="I12" s="12">
        <f t="shared" si="6"/>
        <v>840300000</v>
      </c>
      <c r="J12" s="12">
        <f t="shared" si="6"/>
        <v>-271852371</v>
      </c>
      <c r="K12" s="75">
        <f>SUM(K13:K20)</f>
        <v>89411925769</v>
      </c>
      <c r="L12" s="74">
        <f t="shared" si="6"/>
        <v>5811837402</v>
      </c>
      <c r="M12" s="12">
        <f t="shared" si="6"/>
        <v>5686282768</v>
      </c>
      <c r="N12" s="12">
        <f t="shared" si="6"/>
        <v>5596821223</v>
      </c>
      <c r="O12" s="12">
        <f t="shared" si="6"/>
        <v>6724042381</v>
      </c>
      <c r="P12" s="12">
        <f t="shared" si="6"/>
        <v>6553699645</v>
      </c>
      <c r="Q12" s="12">
        <f t="shared" si="6"/>
        <v>6664861840</v>
      </c>
      <c r="R12" s="12">
        <f t="shared" si="6"/>
        <v>7499585681</v>
      </c>
      <c r="S12" s="12">
        <f t="shared" si="6"/>
        <v>6623661295</v>
      </c>
      <c r="T12" s="12">
        <f aca="true" t="shared" si="7" ref="T12:Y12">SUM(T13:T20)</f>
        <v>6920638434</v>
      </c>
      <c r="U12" s="12">
        <f t="shared" si="7"/>
        <v>6861620157</v>
      </c>
      <c r="V12" s="12">
        <f t="shared" si="7"/>
        <v>6524315262</v>
      </c>
      <c r="W12" s="12">
        <f t="shared" si="7"/>
        <v>8349608428</v>
      </c>
      <c r="X12" s="82">
        <f t="shared" si="7"/>
        <v>79816974516</v>
      </c>
      <c r="Y12" s="13">
        <f t="shared" si="7"/>
        <v>9594951253</v>
      </c>
    </row>
    <row r="13" spans="1:25" ht="15" customHeight="1">
      <c r="A13" s="11" t="s">
        <v>53</v>
      </c>
      <c r="B13" s="12" t="s">
        <v>54</v>
      </c>
      <c r="C13" s="13"/>
      <c r="D13" s="76">
        <f>K13-E13-F13</f>
        <v>87823225769</v>
      </c>
      <c r="E13" s="15">
        <v>0</v>
      </c>
      <c r="F13" s="15">
        <v>0</v>
      </c>
      <c r="G13" s="75">
        <f aca="true" t="shared" si="8" ref="G13:G20">SUM(D13:F13)</f>
        <v>87823225769</v>
      </c>
      <c r="H13" s="79">
        <f>88843478140-H20</f>
        <v>88095078140</v>
      </c>
      <c r="I13" s="15">
        <v>0</v>
      </c>
      <c r="J13" s="15">
        <v>-271852371</v>
      </c>
      <c r="K13" s="75">
        <f aca="true" t="shared" si="9" ref="K13:K20">SUM(H13:J13)</f>
        <v>87823225769</v>
      </c>
      <c r="L13" s="79">
        <v>5795779472</v>
      </c>
      <c r="M13" s="15">
        <v>5671974616</v>
      </c>
      <c r="N13" s="15">
        <v>5590387374</v>
      </c>
      <c r="O13" s="15">
        <v>6713581132</v>
      </c>
      <c r="P13" s="15">
        <v>6544070975</v>
      </c>
      <c r="Q13" s="15">
        <v>6661980425</v>
      </c>
      <c r="R13" s="15">
        <v>7499483201</v>
      </c>
      <c r="S13" s="15">
        <v>6622442351</v>
      </c>
      <c r="T13" s="15">
        <v>6918506149</v>
      </c>
      <c r="U13" s="15">
        <v>6860175603</v>
      </c>
      <c r="V13" s="15">
        <v>6523055687</v>
      </c>
      <c r="W13" s="15">
        <v>7452616356</v>
      </c>
      <c r="X13" s="82">
        <f>SUM(L13:W13)</f>
        <v>78854053341</v>
      </c>
      <c r="Y13" s="13">
        <f>+K13-X13</f>
        <v>8969172428</v>
      </c>
    </row>
    <row r="14" spans="1:25" ht="15" customHeight="1">
      <c r="A14" s="11" t="s">
        <v>55</v>
      </c>
      <c r="B14" s="12" t="s">
        <v>56</v>
      </c>
      <c r="C14" s="13"/>
      <c r="D14" s="76">
        <f aca="true" t="shared" si="10" ref="D14:D20">K14-E14-F14</f>
        <v>0</v>
      </c>
      <c r="E14" s="15">
        <v>0</v>
      </c>
      <c r="F14" s="15">
        <v>0</v>
      </c>
      <c r="G14" s="75">
        <f t="shared" si="8"/>
        <v>0</v>
      </c>
      <c r="H14" s="79">
        <v>0</v>
      </c>
      <c r="I14" s="15">
        <v>0</v>
      </c>
      <c r="J14" s="15">
        <v>0</v>
      </c>
      <c r="K14" s="75">
        <f t="shared" si="9"/>
        <v>0</v>
      </c>
      <c r="L14" s="79">
        <v>0</v>
      </c>
      <c r="M14" s="15"/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/>
      <c r="T14" s="15">
        <v>0</v>
      </c>
      <c r="U14" s="15">
        <v>0</v>
      </c>
      <c r="V14" s="15">
        <v>0</v>
      </c>
      <c r="W14" s="15">
        <v>0</v>
      </c>
      <c r="X14" s="82">
        <f aca="true" t="shared" si="11" ref="X14:X20">SUM(L14:W14)</f>
        <v>0</v>
      </c>
      <c r="Y14" s="13">
        <f aca="true" t="shared" si="12" ref="Y14:Y20">+K14-X14</f>
        <v>0</v>
      </c>
    </row>
    <row r="15" spans="1:25" ht="15" customHeight="1">
      <c r="A15" s="11" t="s">
        <v>57</v>
      </c>
      <c r="B15" s="12" t="s">
        <v>58</v>
      </c>
      <c r="C15" s="13"/>
      <c r="D15" s="76">
        <f t="shared" si="10"/>
        <v>0</v>
      </c>
      <c r="E15" s="14">
        <v>0</v>
      </c>
      <c r="F15" s="14">
        <v>0</v>
      </c>
      <c r="G15" s="75">
        <f t="shared" si="8"/>
        <v>0</v>
      </c>
      <c r="H15" s="76">
        <v>0</v>
      </c>
      <c r="I15" s="14">
        <v>0</v>
      </c>
      <c r="J15" s="14">
        <v>0</v>
      </c>
      <c r="K15" s="75">
        <f t="shared" si="9"/>
        <v>0</v>
      </c>
      <c r="L15" s="76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82">
        <f t="shared" si="11"/>
        <v>0</v>
      </c>
      <c r="Y15" s="13">
        <f t="shared" si="12"/>
        <v>0</v>
      </c>
    </row>
    <row r="16" spans="1:25" ht="15" customHeight="1">
      <c r="A16" s="11" t="s">
        <v>59</v>
      </c>
      <c r="B16" s="12" t="s">
        <v>60</v>
      </c>
      <c r="C16" s="13"/>
      <c r="D16" s="76">
        <f t="shared" si="10"/>
        <v>0</v>
      </c>
      <c r="E16" s="14">
        <v>0</v>
      </c>
      <c r="F16" s="14">
        <v>0</v>
      </c>
      <c r="G16" s="75">
        <f t="shared" si="8"/>
        <v>0</v>
      </c>
      <c r="H16" s="76">
        <v>0</v>
      </c>
      <c r="I16" s="14">
        <v>0</v>
      </c>
      <c r="J16" s="14">
        <v>0</v>
      </c>
      <c r="K16" s="75">
        <f t="shared" si="9"/>
        <v>0</v>
      </c>
      <c r="L16" s="76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82">
        <f t="shared" si="11"/>
        <v>0</v>
      </c>
      <c r="Y16" s="13">
        <f t="shared" si="12"/>
        <v>0</v>
      </c>
    </row>
    <row r="17" spans="1:25" ht="15" customHeight="1">
      <c r="A17" s="11" t="s">
        <v>61</v>
      </c>
      <c r="B17" s="12" t="s">
        <v>62</v>
      </c>
      <c r="C17" s="13"/>
      <c r="D17" s="76">
        <f t="shared" si="10"/>
        <v>0</v>
      </c>
      <c r="E17" s="14">
        <v>0</v>
      </c>
      <c r="F17" s="14">
        <v>0</v>
      </c>
      <c r="G17" s="75">
        <f t="shared" si="8"/>
        <v>0</v>
      </c>
      <c r="H17" s="76">
        <v>0</v>
      </c>
      <c r="I17" s="14">
        <v>0</v>
      </c>
      <c r="J17" s="14">
        <v>0</v>
      </c>
      <c r="K17" s="75">
        <f t="shared" si="9"/>
        <v>0</v>
      </c>
      <c r="L17" s="76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82">
        <f t="shared" si="11"/>
        <v>0</v>
      </c>
      <c r="Y17" s="13">
        <f t="shared" si="12"/>
        <v>0</v>
      </c>
    </row>
    <row r="18" spans="1:25" ht="15" customHeight="1">
      <c r="A18" s="11" t="s">
        <v>63</v>
      </c>
      <c r="B18" s="12" t="s">
        <v>64</v>
      </c>
      <c r="C18" s="13"/>
      <c r="D18" s="76">
        <f t="shared" si="10"/>
        <v>0</v>
      </c>
      <c r="E18" s="14">
        <v>840300000</v>
      </c>
      <c r="F18" s="14">
        <v>0</v>
      </c>
      <c r="G18" s="75">
        <f t="shared" si="8"/>
        <v>840300000</v>
      </c>
      <c r="H18" s="76">
        <v>0</v>
      </c>
      <c r="I18" s="14">
        <v>840300000</v>
      </c>
      <c r="J18" s="14">
        <v>0</v>
      </c>
      <c r="K18" s="75">
        <f t="shared" si="9"/>
        <v>840300000</v>
      </c>
      <c r="L18" s="76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f>840300000</f>
        <v>840300000</v>
      </c>
      <c r="X18" s="82">
        <f t="shared" si="11"/>
        <v>840300000</v>
      </c>
      <c r="Y18" s="13">
        <f t="shared" si="12"/>
        <v>0</v>
      </c>
    </row>
    <row r="19" spans="1:25" ht="15" customHeight="1">
      <c r="A19" s="11" t="s">
        <v>65</v>
      </c>
      <c r="B19" s="12" t="s">
        <v>66</v>
      </c>
      <c r="C19" s="13"/>
      <c r="D19" s="76">
        <f t="shared" si="10"/>
        <v>0</v>
      </c>
      <c r="E19" s="14">
        <v>0</v>
      </c>
      <c r="F19" s="14">
        <v>0</v>
      </c>
      <c r="G19" s="75">
        <f t="shared" si="8"/>
        <v>0</v>
      </c>
      <c r="H19" s="76">
        <v>0</v>
      </c>
      <c r="I19" s="14">
        <v>0</v>
      </c>
      <c r="J19" s="14">
        <v>0</v>
      </c>
      <c r="K19" s="75">
        <f t="shared" si="9"/>
        <v>0</v>
      </c>
      <c r="L19" s="76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82">
        <f t="shared" si="11"/>
        <v>0</v>
      </c>
      <c r="Y19" s="13">
        <f t="shared" si="12"/>
        <v>0</v>
      </c>
    </row>
    <row r="20" spans="1:25" ht="15" customHeight="1">
      <c r="A20" s="11" t="s">
        <v>67</v>
      </c>
      <c r="B20" s="12" t="s">
        <v>68</v>
      </c>
      <c r="C20" s="13"/>
      <c r="D20" s="76">
        <f t="shared" si="10"/>
        <v>748400000</v>
      </c>
      <c r="E20" s="15">
        <v>0</v>
      </c>
      <c r="F20" s="15">
        <v>0</v>
      </c>
      <c r="G20" s="75">
        <f t="shared" si="8"/>
        <v>748400000</v>
      </c>
      <c r="H20" s="79">
        <v>748400000</v>
      </c>
      <c r="I20" s="15">
        <v>0</v>
      </c>
      <c r="J20" s="15">
        <v>0</v>
      </c>
      <c r="K20" s="75">
        <f t="shared" si="9"/>
        <v>748400000</v>
      </c>
      <c r="L20" s="79">
        <v>16057930</v>
      </c>
      <c r="M20" s="15">
        <f>6530775+7777377</f>
        <v>14308152</v>
      </c>
      <c r="N20" s="15">
        <f>4715698+1718151</f>
        <v>6433849</v>
      </c>
      <c r="O20" s="15">
        <f>700000+9761249</f>
        <v>10461249</v>
      </c>
      <c r="P20" s="15">
        <f>150000+9478670</f>
        <v>9628670</v>
      </c>
      <c r="Q20" s="15">
        <f>700000+2181415</f>
        <v>2881415</v>
      </c>
      <c r="R20" s="15">
        <f>20000+82480</f>
        <v>102480</v>
      </c>
      <c r="S20" s="15">
        <f>875000+343944</f>
        <v>1218944</v>
      </c>
      <c r="T20" s="15">
        <f>700000+1432285</f>
        <v>2132285</v>
      </c>
      <c r="U20" s="15">
        <f>1223126+221428</f>
        <v>1444554</v>
      </c>
      <c r="V20" s="15">
        <f>710000+549575</f>
        <v>1259575</v>
      </c>
      <c r="W20" s="15">
        <v>56692072</v>
      </c>
      <c r="X20" s="82">
        <f t="shared" si="11"/>
        <v>122621175</v>
      </c>
      <c r="Y20" s="13">
        <f t="shared" si="12"/>
        <v>625778825</v>
      </c>
    </row>
    <row r="21" spans="1:25" ht="15" customHeight="1">
      <c r="A21" s="34" t="s">
        <v>69</v>
      </c>
      <c r="B21" s="24" t="s">
        <v>70</v>
      </c>
      <c r="C21" s="35"/>
      <c r="D21" s="77">
        <f aca="true" t="shared" si="13" ref="D21:S21">SUM(D22:D26)</f>
        <v>37957200000</v>
      </c>
      <c r="E21" s="24">
        <f t="shared" si="13"/>
        <v>3046100000</v>
      </c>
      <c r="F21" s="24">
        <f t="shared" si="13"/>
        <v>0</v>
      </c>
      <c r="G21" s="35">
        <f t="shared" si="13"/>
        <v>41003300000</v>
      </c>
      <c r="H21" s="77">
        <f t="shared" si="13"/>
        <v>37957200000</v>
      </c>
      <c r="I21" s="24">
        <f t="shared" si="13"/>
        <v>3046100000</v>
      </c>
      <c r="J21" s="24">
        <f t="shared" si="13"/>
        <v>0</v>
      </c>
      <c r="K21" s="35">
        <f>SUM(K22:K26)</f>
        <v>41003300000</v>
      </c>
      <c r="L21" s="77">
        <f t="shared" si="13"/>
        <v>2430693718</v>
      </c>
      <c r="M21" s="24">
        <f t="shared" si="13"/>
        <v>2532304923</v>
      </c>
      <c r="N21" s="24">
        <f t="shared" si="13"/>
        <v>2346197305</v>
      </c>
      <c r="O21" s="24">
        <f t="shared" si="13"/>
        <v>2778512556</v>
      </c>
      <c r="P21" s="24">
        <f t="shared" si="13"/>
        <v>3412326935</v>
      </c>
      <c r="Q21" s="24">
        <f t="shared" si="13"/>
        <v>4247050201</v>
      </c>
      <c r="R21" s="24">
        <f t="shared" si="13"/>
        <v>3065119173</v>
      </c>
      <c r="S21" s="24">
        <f t="shared" si="13"/>
        <v>2776504695</v>
      </c>
      <c r="T21" s="24">
        <f aca="true" t="shared" si="14" ref="T21:Y21">SUM(T22:T26)</f>
        <v>2890087303</v>
      </c>
      <c r="U21" s="24">
        <f t="shared" si="14"/>
        <v>2808629546</v>
      </c>
      <c r="V21" s="24">
        <f t="shared" si="14"/>
        <v>2720671991</v>
      </c>
      <c r="W21" s="24">
        <f t="shared" si="14"/>
        <v>6112348084</v>
      </c>
      <c r="X21" s="83">
        <f t="shared" si="14"/>
        <v>38120446430</v>
      </c>
      <c r="Y21" s="35">
        <f t="shared" si="14"/>
        <v>2882853570</v>
      </c>
    </row>
    <row r="22" spans="1:25" ht="15" customHeight="1">
      <c r="A22" s="11" t="s">
        <v>71</v>
      </c>
      <c r="B22" s="12" t="s">
        <v>72</v>
      </c>
      <c r="C22" s="13"/>
      <c r="D22" s="76">
        <f>K22-E22-F22</f>
        <v>0</v>
      </c>
      <c r="E22" s="14">
        <v>0</v>
      </c>
      <c r="F22" s="14">
        <v>0</v>
      </c>
      <c r="G22" s="75">
        <f>SUM(D22:F22)</f>
        <v>0</v>
      </c>
      <c r="H22" s="76">
        <v>0</v>
      </c>
      <c r="I22" s="14">
        <v>0</v>
      </c>
      <c r="J22" s="14">
        <v>0</v>
      </c>
      <c r="K22" s="75">
        <f>SUM(H22:J22)</f>
        <v>0</v>
      </c>
      <c r="L22" s="76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82">
        <f>SUM(L22:W22)</f>
        <v>0</v>
      </c>
      <c r="Y22" s="13">
        <f>+K22-X22</f>
        <v>0</v>
      </c>
    </row>
    <row r="23" spans="1:25" ht="15" customHeight="1">
      <c r="A23" s="11" t="s">
        <v>73</v>
      </c>
      <c r="B23" s="12" t="s">
        <v>74</v>
      </c>
      <c r="C23" s="13"/>
      <c r="D23" s="76">
        <f>K23-E23-F23</f>
        <v>0</v>
      </c>
      <c r="E23" s="14">
        <v>0</v>
      </c>
      <c r="F23" s="14">
        <v>0</v>
      </c>
      <c r="G23" s="75">
        <f>SUM(D23:F23)</f>
        <v>0</v>
      </c>
      <c r="H23" s="76">
        <v>0</v>
      </c>
      <c r="I23" s="14">
        <v>0</v>
      </c>
      <c r="J23" s="14">
        <v>0</v>
      </c>
      <c r="K23" s="75">
        <f>SUM(H23:J23)</f>
        <v>0</v>
      </c>
      <c r="L23" s="76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82">
        <f>SUM(L23:W23)</f>
        <v>0</v>
      </c>
      <c r="Y23" s="13">
        <f>+K23-X23</f>
        <v>0</v>
      </c>
    </row>
    <row r="24" spans="1:25" ht="15" customHeight="1">
      <c r="A24" s="11" t="s">
        <v>75</v>
      </c>
      <c r="B24" s="12" t="s">
        <v>76</v>
      </c>
      <c r="C24" s="13"/>
      <c r="D24" s="76">
        <f>K24-E24-F24</f>
        <v>37265900000</v>
      </c>
      <c r="E24" s="15">
        <v>0</v>
      </c>
      <c r="F24" s="15">
        <v>0</v>
      </c>
      <c r="G24" s="75">
        <f>SUM(D24:F24)</f>
        <v>37265900000</v>
      </c>
      <c r="H24" s="79">
        <f>37957200000-H25</f>
        <v>37265900000</v>
      </c>
      <c r="I24" s="15">
        <v>0</v>
      </c>
      <c r="J24" s="15">
        <v>0</v>
      </c>
      <c r="K24" s="75">
        <f>SUM(H24:J24)</f>
        <v>37265900000</v>
      </c>
      <c r="L24" s="79">
        <v>2421613642</v>
      </c>
      <c r="M24" s="15">
        <v>2506746946</v>
      </c>
      <c r="N24" s="15">
        <v>2350131157</v>
      </c>
      <c r="O24" s="15">
        <v>2775190335</v>
      </c>
      <c r="P24" s="15">
        <v>3401616788</v>
      </c>
      <c r="Q24" s="15">
        <v>4228160120</v>
      </c>
      <c r="R24" s="15">
        <v>3014565285</v>
      </c>
      <c r="S24" s="15">
        <v>2745088490</v>
      </c>
      <c r="T24" s="15">
        <v>2866001834</v>
      </c>
      <c r="U24" s="15">
        <v>2805967609</v>
      </c>
      <c r="V24" s="15">
        <v>2720671991</v>
      </c>
      <c r="W24" s="15">
        <v>3056680961</v>
      </c>
      <c r="X24" s="82">
        <f>SUM(L24:W24)</f>
        <v>34892435158</v>
      </c>
      <c r="Y24" s="13">
        <f>+K24-X24</f>
        <v>2373464842</v>
      </c>
    </row>
    <row r="25" spans="1:25" ht="15" customHeight="1">
      <c r="A25" s="11" t="s">
        <v>77</v>
      </c>
      <c r="B25" s="12" t="s">
        <v>78</v>
      </c>
      <c r="C25" s="13"/>
      <c r="D25" s="76">
        <f>K25-E25-F25</f>
        <v>691300000</v>
      </c>
      <c r="E25" s="15">
        <v>0</v>
      </c>
      <c r="F25" s="15">
        <v>0</v>
      </c>
      <c r="G25" s="75">
        <f>SUM(D25:F25)</f>
        <v>691300000</v>
      </c>
      <c r="H25" s="79">
        <v>691300000</v>
      </c>
      <c r="I25" s="15">
        <v>0</v>
      </c>
      <c r="J25" s="15">
        <v>0</v>
      </c>
      <c r="K25" s="75">
        <f>SUM(H25:J25)</f>
        <v>691300000</v>
      </c>
      <c r="L25" s="79">
        <v>9080076</v>
      </c>
      <c r="M25" s="15">
        <v>25557977</v>
      </c>
      <c r="N25" s="15">
        <v>-3933852</v>
      </c>
      <c r="O25" s="15">
        <v>3322221</v>
      </c>
      <c r="P25" s="15">
        <v>10710147</v>
      </c>
      <c r="Q25" s="15">
        <v>18890081</v>
      </c>
      <c r="R25" s="15">
        <v>50553888</v>
      </c>
      <c r="S25" s="15">
        <v>31416205</v>
      </c>
      <c r="T25" s="15">
        <v>24085469</v>
      </c>
      <c r="U25" s="15">
        <v>2661937</v>
      </c>
      <c r="V25" s="15">
        <v>0</v>
      </c>
      <c r="W25" s="15">
        <v>9567123</v>
      </c>
      <c r="X25" s="82">
        <f>SUM(L25:W25)</f>
        <v>181911272</v>
      </c>
      <c r="Y25" s="13">
        <f>+K25-X25</f>
        <v>509388728</v>
      </c>
    </row>
    <row r="26" spans="1:25" ht="15" customHeight="1">
      <c r="A26" s="11" t="s">
        <v>79</v>
      </c>
      <c r="B26" s="12" t="s">
        <v>80</v>
      </c>
      <c r="C26" s="13"/>
      <c r="D26" s="74">
        <f aca="true" t="shared" si="15" ref="D26:S26">SUM(D27:D29)</f>
        <v>0</v>
      </c>
      <c r="E26" s="12">
        <f t="shared" si="15"/>
        <v>3046100000</v>
      </c>
      <c r="F26" s="12">
        <f t="shared" si="15"/>
        <v>0</v>
      </c>
      <c r="G26" s="75">
        <f t="shared" si="15"/>
        <v>3046100000</v>
      </c>
      <c r="H26" s="74">
        <f t="shared" si="15"/>
        <v>0</v>
      </c>
      <c r="I26" s="12">
        <f t="shared" si="15"/>
        <v>3046100000</v>
      </c>
      <c r="J26" s="12">
        <f t="shared" si="15"/>
        <v>0</v>
      </c>
      <c r="K26" s="75">
        <f>SUM(K27:K29)</f>
        <v>3046100000</v>
      </c>
      <c r="L26" s="74">
        <f t="shared" si="15"/>
        <v>0</v>
      </c>
      <c r="M26" s="12">
        <f t="shared" si="15"/>
        <v>0</v>
      </c>
      <c r="N26" s="12">
        <f t="shared" si="15"/>
        <v>0</v>
      </c>
      <c r="O26" s="12">
        <f t="shared" si="15"/>
        <v>0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aca="true" t="shared" si="16" ref="T26:Y26">SUM(T27:T29)</f>
        <v>0</v>
      </c>
      <c r="U26" s="12">
        <f t="shared" si="16"/>
        <v>0</v>
      </c>
      <c r="V26" s="12">
        <f t="shared" si="16"/>
        <v>0</v>
      </c>
      <c r="W26" s="12">
        <f t="shared" si="16"/>
        <v>3046100000</v>
      </c>
      <c r="X26" s="82">
        <f t="shared" si="16"/>
        <v>3046100000</v>
      </c>
      <c r="Y26" s="13">
        <f t="shared" si="16"/>
        <v>0</v>
      </c>
    </row>
    <row r="27" spans="1:25" ht="15" customHeight="1">
      <c r="A27" s="11" t="s">
        <v>81</v>
      </c>
      <c r="B27" s="12" t="s">
        <v>82</v>
      </c>
      <c r="C27" s="13"/>
      <c r="D27" s="76">
        <f>K27-E27-F27</f>
        <v>0</v>
      </c>
      <c r="E27" s="15">
        <v>0</v>
      </c>
      <c r="F27" s="15">
        <v>0</v>
      </c>
      <c r="G27" s="75">
        <f>SUM(D27:F27)</f>
        <v>0</v>
      </c>
      <c r="H27" s="79">
        <v>0</v>
      </c>
      <c r="I27" s="15">
        <v>0</v>
      </c>
      <c r="J27" s="15">
        <v>0</v>
      </c>
      <c r="K27" s="75">
        <f>SUM(H27:J27)</f>
        <v>0</v>
      </c>
      <c r="L27" s="7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82">
        <f>SUM(L27:W27)</f>
        <v>0</v>
      </c>
      <c r="Y27" s="13">
        <f>+K27-X27</f>
        <v>0</v>
      </c>
    </row>
    <row r="28" spans="1:25" ht="15" customHeight="1">
      <c r="A28" s="11" t="s">
        <v>83</v>
      </c>
      <c r="B28" s="12" t="s">
        <v>84</v>
      </c>
      <c r="C28" s="13"/>
      <c r="D28" s="76">
        <f>K28-E28-F28</f>
        <v>0</v>
      </c>
      <c r="E28" s="15">
        <v>3046100000</v>
      </c>
      <c r="F28" s="15">
        <v>0</v>
      </c>
      <c r="G28" s="75">
        <f>SUM(D28:F28)</f>
        <v>3046100000</v>
      </c>
      <c r="H28" s="79">
        <v>0</v>
      </c>
      <c r="I28" s="15">
        <v>3046100000</v>
      </c>
      <c r="J28" s="15">
        <v>0</v>
      </c>
      <c r="K28" s="75">
        <f>SUM(H28:J28)</f>
        <v>3046100000</v>
      </c>
      <c r="L28" s="7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f>3046100000</f>
        <v>3046100000</v>
      </c>
      <c r="X28" s="82">
        <f>SUM(L28:W28)</f>
        <v>3046100000</v>
      </c>
      <c r="Y28" s="13">
        <f>+K28-X28</f>
        <v>0</v>
      </c>
    </row>
    <row r="29" spans="1:25" ht="15" customHeight="1" thickBot="1">
      <c r="A29" s="21" t="s">
        <v>85</v>
      </c>
      <c r="B29" s="16" t="s">
        <v>86</v>
      </c>
      <c r="C29" s="17"/>
      <c r="D29" s="78">
        <f>K29-E29-F29</f>
        <v>0</v>
      </c>
      <c r="E29" s="22">
        <v>0</v>
      </c>
      <c r="F29" s="22">
        <v>0</v>
      </c>
      <c r="G29" s="20">
        <f>SUM(D29:F29)</f>
        <v>0</v>
      </c>
      <c r="H29" s="80">
        <v>0</v>
      </c>
      <c r="I29" s="22">
        <v>0</v>
      </c>
      <c r="J29" s="22">
        <v>0</v>
      </c>
      <c r="K29" s="20">
        <f>SUM(H29:J29)</f>
        <v>0</v>
      </c>
      <c r="L29" s="80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84">
        <f>SUM(L29:W29)</f>
        <v>0</v>
      </c>
      <c r="Y29" s="17">
        <f>+K29-X29</f>
        <v>0</v>
      </c>
    </row>
    <row r="30" spans="1:25" ht="15" customHeight="1" thickBot="1">
      <c r="A30" s="55" t="s">
        <v>87</v>
      </c>
      <c r="B30" s="56" t="s">
        <v>88</v>
      </c>
      <c r="C30" s="57"/>
      <c r="D30" s="71">
        <f aca="true" t="shared" si="17" ref="D30:J30">SUM(D31:D33)</f>
        <v>22882000000</v>
      </c>
      <c r="E30" s="25">
        <f t="shared" si="17"/>
        <v>0</v>
      </c>
      <c r="F30" s="56">
        <f t="shared" si="17"/>
        <v>0</v>
      </c>
      <c r="G30" s="57">
        <f t="shared" si="17"/>
        <v>22882000000</v>
      </c>
      <c r="H30" s="81">
        <f t="shared" si="17"/>
        <v>22882000000</v>
      </c>
      <c r="I30" s="25">
        <f t="shared" si="17"/>
        <v>0</v>
      </c>
      <c r="J30" s="25">
        <f t="shared" si="17"/>
        <v>0</v>
      </c>
      <c r="K30" s="26">
        <f aca="true" t="shared" si="18" ref="K30:W30">SUM(K31:K33)</f>
        <v>22882000000</v>
      </c>
      <c r="L30" s="71">
        <f t="shared" si="18"/>
        <v>0</v>
      </c>
      <c r="M30" s="56">
        <f t="shared" si="18"/>
        <v>1666600000</v>
      </c>
      <c r="N30" s="56">
        <f t="shared" si="18"/>
        <v>833400000</v>
      </c>
      <c r="O30" s="56">
        <f t="shared" si="18"/>
        <v>0</v>
      </c>
      <c r="P30" s="56">
        <f t="shared" si="18"/>
        <v>407000000</v>
      </c>
      <c r="Q30" s="56">
        <f t="shared" si="18"/>
        <v>89362500</v>
      </c>
      <c r="R30" s="56">
        <f t="shared" si="18"/>
        <v>1667731856</v>
      </c>
      <c r="S30" s="56">
        <f t="shared" si="18"/>
        <v>0</v>
      </c>
      <c r="T30" s="56">
        <f t="shared" si="18"/>
        <v>0</v>
      </c>
      <c r="U30" s="56">
        <f t="shared" si="18"/>
        <v>3090000</v>
      </c>
      <c r="V30" s="56">
        <f t="shared" si="18"/>
        <v>1253509360</v>
      </c>
      <c r="W30" s="56">
        <f t="shared" si="18"/>
        <v>856645734.4</v>
      </c>
      <c r="X30" s="85">
        <f>SUM(X31:X33)</f>
        <v>6777339450.4</v>
      </c>
      <c r="Y30" s="57">
        <f>SUM(Y31:Y33)</f>
        <v>16104660549.6</v>
      </c>
    </row>
    <row r="31" spans="1:25" ht="15" customHeight="1">
      <c r="A31" s="11" t="s">
        <v>89</v>
      </c>
      <c r="B31" s="12" t="s">
        <v>90</v>
      </c>
      <c r="C31" s="13"/>
      <c r="D31" s="76">
        <f>K31-E31-F31</f>
        <v>0</v>
      </c>
      <c r="E31" s="14">
        <v>0</v>
      </c>
      <c r="F31" s="14">
        <v>0</v>
      </c>
      <c r="G31" s="75">
        <f>SUM(D31:F31)</f>
        <v>0</v>
      </c>
      <c r="H31" s="14">
        <v>0</v>
      </c>
      <c r="I31" s="14">
        <v>0</v>
      </c>
      <c r="J31" s="14">
        <v>0</v>
      </c>
      <c r="K31" s="23">
        <f>SUM(H31:J31)</f>
        <v>0</v>
      </c>
      <c r="L31" s="76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82">
        <f>SUM(L31:W31)</f>
        <v>0</v>
      </c>
      <c r="Y31" s="13">
        <f>+K31-X31</f>
        <v>0</v>
      </c>
    </row>
    <row r="32" spans="1:25" ht="15" customHeight="1">
      <c r="A32" s="11" t="s">
        <v>91</v>
      </c>
      <c r="B32" s="12" t="s">
        <v>92</v>
      </c>
      <c r="C32" s="13"/>
      <c r="D32" s="76">
        <f>K32-E32-F32</f>
        <v>0</v>
      </c>
      <c r="E32" s="14">
        <v>0</v>
      </c>
      <c r="F32" s="14">
        <v>0</v>
      </c>
      <c r="G32" s="75">
        <f>SUM(D32:F32)</f>
        <v>0</v>
      </c>
      <c r="H32" s="14">
        <v>0</v>
      </c>
      <c r="I32" s="14">
        <v>0</v>
      </c>
      <c r="J32" s="14">
        <v>0</v>
      </c>
      <c r="K32" s="23">
        <f>SUM(H32:J32)</f>
        <v>0</v>
      </c>
      <c r="L32" s="76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82">
        <f>SUM(L32:W32)</f>
        <v>0</v>
      </c>
      <c r="Y32" s="13">
        <f>+K32-X32</f>
        <v>0</v>
      </c>
    </row>
    <row r="33" spans="1:25" ht="15" customHeight="1" thickBot="1">
      <c r="A33" s="21" t="s">
        <v>93</v>
      </c>
      <c r="B33" s="16" t="s">
        <v>94</v>
      </c>
      <c r="C33" s="17"/>
      <c r="D33" s="78">
        <f>K33-E33-F33</f>
        <v>22882000000</v>
      </c>
      <c r="E33" s="22">
        <v>0</v>
      </c>
      <c r="F33" s="22">
        <v>0</v>
      </c>
      <c r="G33" s="20">
        <f>SUM(D33:F33)</f>
        <v>22882000000</v>
      </c>
      <c r="H33" s="22">
        <v>22882000000</v>
      </c>
      <c r="I33" s="22">
        <v>0</v>
      </c>
      <c r="J33" s="22">
        <v>0</v>
      </c>
      <c r="K33" s="19">
        <f>SUM(H33:J33)</f>
        <v>22882000000</v>
      </c>
      <c r="L33" s="80">
        <v>0</v>
      </c>
      <c r="M33" s="22">
        <v>1666600000</v>
      </c>
      <c r="N33" s="22">
        <v>833400000</v>
      </c>
      <c r="O33" s="22">
        <v>0</v>
      </c>
      <c r="P33" s="22">
        <v>407000000</v>
      </c>
      <c r="Q33" s="22">
        <v>89362500</v>
      </c>
      <c r="R33" s="22">
        <v>1667731856</v>
      </c>
      <c r="S33" s="22">
        <v>0</v>
      </c>
      <c r="T33" s="22">
        <v>0</v>
      </c>
      <c r="U33" s="22">
        <v>3090000</v>
      </c>
      <c r="V33" s="22">
        <v>1253509360</v>
      </c>
      <c r="W33" s="22">
        <v>856645734.4</v>
      </c>
      <c r="X33" s="84">
        <f>SUM(L33:W33)</f>
        <v>6777339450.4</v>
      </c>
      <c r="Y33" s="17">
        <f>+K33-X33</f>
        <v>16104660549.6</v>
      </c>
    </row>
    <row r="34" spans="1:25" ht="15" customHeight="1" thickBot="1">
      <c r="A34" s="396"/>
      <c r="B34" s="25" t="s">
        <v>95</v>
      </c>
      <c r="C34" s="26"/>
      <c r="D34" s="81">
        <f aca="true" t="shared" si="19" ref="D34:J34">+D7+D30</f>
        <v>149410825769</v>
      </c>
      <c r="E34" s="25">
        <f t="shared" si="19"/>
        <v>3886400000</v>
      </c>
      <c r="F34" s="25">
        <f t="shared" si="19"/>
        <v>0</v>
      </c>
      <c r="G34" s="26">
        <f t="shared" si="19"/>
        <v>153297225769</v>
      </c>
      <c r="H34" s="25">
        <f t="shared" si="19"/>
        <v>149682678140</v>
      </c>
      <c r="I34" s="25">
        <f t="shared" si="19"/>
        <v>3886400000</v>
      </c>
      <c r="J34" s="25">
        <f t="shared" si="19"/>
        <v>-271852371</v>
      </c>
      <c r="K34" s="25">
        <f aca="true" t="shared" si="20" ref="K34:W34">+K7+K30</f>
        <v>153297225769</v>
      </c>
      <c r="L34" s="81">
        <f t="shared" si="20"/>
        <v>8242531120</v>
      </c>
      <c r="M34" s="25">
        <f t="shared" si="20"/>
        <v>9885187691</v>
      </c>
      <c r="N34" s="25">
        <f t="shared" si="20"/>
        <v>8776418528</v>
      </c>
      <c r="O34" s="25">
        <f t="shared" si="20"/>
        <v>9502554937</v>
      </c>
      <c r="P34" s="25">
        <f t="shared" si="20"/>
        <v>10373026580</v>
      </c>
      <c r="Q34" s="25">
        <f t="shared" si="20"/>
        <v>11001274541</v>
      </c>
      <c r="R34" s="25">
        <f t="shared" si="20"/>
        <v>12232436710</v>
      </c>
      <c r="S34" s="25">
        <f t="shared" si="20"/>
        <v>9400165990</v>
      </c>
      <c r="T34" s="25">
        <f t="shared" si="20"/>
        <v>9810725737</v>
      </c>
      <c r="U34" s="25">
        <f t="shared" si="20"/>
        <v>9673339703</v>
      </c>
      <c r="V34" s="25">
        <f t="shared" si="20"/>
        <v>10498496613</v>
      </c>
      <c r="W34" s="25">
        <f t="shared" si="20"/>
        <v>15318602246.4</v>
      </c>
      <c r="X34" s="397">
        <f>+X7+X30</f>
        <v>124714760396.4</v>
      </c>
      <c r="Y34" s="26">
        <f>+Y7+Y30</f>
        <v>28582465372.6</v>
      </c>
    </row>
  </sheetData>
  <printOptions horizontalCentered="1" verticalCentered="1"/>
  <pageMargins left="0.4724409448818898" right="0.4724409448818898" top="0.7874015748031497" bottom="0.95" header="0.36" footer="0.25"/>
  <pageSetup fitToHeight="1" fitToWidth="1" horizontalDpi="300" verticalDpi="300" orientation="landscape" paperSize="9" scale="78" r:id="rId2"/>
  <headerFooter alignWithMargins="0">
    <oddHeader>&amp;LGPR-&amp;D&amp;C&amp;14INFORME EJECUCIÓN DE INGRESOS - SECTOR DESCENTRALIZADO&amp;RPág. &amp;P/&amp;N</oddHeader>
    <oddFooter xml:space="preserve">&amp;L&amp;14JORGE NELSON GAITÁN LEÓN
Jefe de Presupuesto&amp;C&amp;14MARTA LUCIA  VILLEGAS BOTERO
Directora  General &amp;R&amp;14JOSE LUIS ACERO COLMENARES 
Subdirector Financiero&amp;12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73"/>
  <sheetViews>
    <sheetView showGridLines="0" zoomScale="80" zoomScaleNormal="80" workbookViewId="0" topLeftCell="E4">
      <pane xSplit="3" ySplit="4" topLeftCell="H8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H8" sqref="H8"/>
    </sheetView>
  </sheetViews>
  <sheetFormatPr defaultColWidth="17.7109375" defaultRowHeight="12.75"/>
  <cols>
    <col min="1" max="1" width="3.00390625" style="101" customWidth="1"/>
    <col min="2" max="2" width="4.7109375" style="101" customWidth="1"/>
    <col min="3" max="5" width="6.7109375" style="101" customWidth="1"/>
    <col min="6" max="6" width="4.7109375" style="101" customWidth="1"/>
    <col min="7" max="7" width="55.7109375" style="103" customWidth="1"/>
    <col min="8" max="8" width="18.421875" style="98" customWidth="1"/>
    <col min="9" max="15" width="17.7109375" style="98" customWidth="1"/>
    <col min="16" max="16" width="20.140625" style="98" customWidth="1"/>
    <col min="17" max="20" width="17.7109375" style="98" customWidth="1"/>
    <col min="21" max="21" width="19.00390625" style="98" customWidth="1"/>
    <col min="22" max="27" width="17.7109375" style="98" customWidth="1"/>
    <col min="28" max="28" width="17.7109375" style="104" customWidth="1"/>
    <col min="29" max="32" width="17.7109375" style="98" customWidth="1"/>
    <col min="33" max="33" width="16.28125" style="98" customWidth="1"/>
    <col min="34" max="34" width="16.8515625" style="102" customWidth="1"/>
    <col min="35" max="40" width="17.7109375" style="98" customWidth="1"/>
    <col min="41" max="41" width="17.7109375" style="104" customWidth="1"/>
    <col min="42" max="44" width="17.7109375" style="98" customWidth="1"/>
    <col min="45" max="45" width="17.421875" style="98" customWidth="1"/>
    <col min="46" max="46" width="16.57421875" style="98" customWidth="1"/>
    <col min="47" max="47" width="16.421875" style="102" customWidth="1"/>
    <col min="48" max="48" width="12.7109375" style="98" customWidth="1"/>
    <col min="49" max="49" width="14.28125" style="98" customWidth="1"/>
    <col min="50" max="51" width="15.28125" style="98" customWidth="1"/>
    <col min="52" max="52" width="14.28125" style="98" customWidth="1"/>
    <col min="53" max="53" width="15.28125" style="98" customWidth="1"/>
    <col min="54" max="54" width="15.28125" style="104" customWidth="1"/>
    <col min="55" max="57" width="15.28125" style="98" customWidth="1"/>
    <col min="58" max="58" width="14.28125" style="98" customWidth="1"/>
    <col min="59" max="59" width="16.28125" style="98" customWidth="1"/>
    <col min="60" max="60" width="16.421875" style="102" bestFit="1" customWidth="1"/>
    <col min="61" max="61" width="15.8515625" style="98" customWidth="1"/>
    <col min="62" max="62" width="16.57421875" style="98" customWidth="1"/>
    <col min="63" max="63" width="17.7109375" style="98" customWidth="1"/>
    <col min="64" max="16384" width="17.7109375" style="98" customWidth="1"/>
  </cols>
  <sheetData>
    <row r="1" spans="1:63" ht="24" customHeight="1">
      <c r="A1" s="92"/>
      <c r="B1" s="107"/>
      <c r="C1" s="28"/>
      <c r="D1" s="107"/>
      <c r="E1" s="107"/>
      <c r="F1" s="107"/>
      <c r="G1" s="93" t="s">
        <v>261</v>
      </c>
      <c r="H1" s="109"/>
      <c r="I1" s="110"/>
      <c r="J1" s="111"/>
      <c r="K1" s="110"/>
      <c r="L1" s="111"/>
      <c r="M1" s="112"/>
      <c r="N1" s="96" t="s">
        <v>2</v>
      </c>
      <c r="O1" s="230"/>
      <c r="P1" s="231"/>
      <c r="Q1" s="232"/>
      <c r="R1" s="231"/>
      <c r="S1" s="232"/>
      <c r="T1" s="233"/>
      <c r="U1" s="234" t="s">
        <v>2</v>
      </c>
      <c r="V1" s="118" t="s">
        <v>3</v>
      </c>
      <c r="W1" s="119" t="s">
        <v>4</v>
      </c>
      <c r="X1" s="119" t="s">
        <v>5</v>
      </c>
      <c r="Y1" s="119" t="s">
        <v>6</v>
      </c>
      <c r="Z1" s="119" t="s">
        <v>7</v>
      </c>
      <c r="AA1" s="119" t="s">
        <v>8</v>
      </c>
      <c r="AB1" s="120" t="s">
        <v>9</v>
      </c>
      <c r="AC1" s="119" t="s">
        <v>10</v>
      </c>
      <c r="AD1" s="119" t="s">
        <v>11</v>
      </c>
      <c r="AE1" s="119" t="s">
        <v>12</v>
      </c>
      <c r="AF1" s="119" t="s">
        <v>13</v>
      </c>
      <c r="AG1" s="119" t="s">
        <v>14</v>
      </c>
      <c r="AH1" s="259" t="s">
        <v>15</v>
      </c>
      <c r="AI1" s="118" t="s">
        <v>3</v>
      </c>
      <c r="AJ1" s="119" t="s">
        <v>4</v>
      </c>
      <c r="AK1" s="119" t="s">
        <v>5</v>
      </c>
      <c r="AL1" s="119" t="s">
        <v>6</v>
      </c>
      <c r="AM1" s="119" t="s">
        <v>7</v>
      </c>
      <c r="AN1" s="119" t="s">
        <v>8</v>
      </c>
      <c r="AO1" s="120" t="s">
        <v>9</v>
      </c>
      <c r="AP1" s="119" t="s">
        <v>10</v>
      </c>
      <c r="AQ1" s="119" t="s">
        <v>11</v>
      </c>
      <c r="AR1" s="119" t="s">
        <v>12</v>
      </c>
      <c r="AS1" s="119" t="s">
        <v>13</v>
      </c>
      <c r="AT1" s="119" t="s">
        <v>14</v>
      </c>
      <c r="AU1" s="259" t="s">
        <v>15</v>
      </c>
      <c r="AV1" s="118" t="s">
        <v>3</v>
      </c>
      <c r="AW1" s="191" t="s">
        <v>4</v>
      </c>
      <c r="AX1" s="191" t="s">
        <v>5</v>
      </c>
      <c r="AY1" s="191" t="s">
        <v>6</v>
      </c>
      <c r="AZ1" s="191" t="s">
        <v>7</v>
      </c>
      <c r="BA1" s="191" t="s">
        <v>8</v>
      </c>
      <c r="BB1" s="192" t="s">
        <v>9</v>
      </c>
      <c r="BC1" s="191" t="s">
        <v>10</v>
      </c>
      <c r="BD1" s="191" t="s">
        <v>11</v>
      </c>
      <c r="BE1" s="191" t="s">
        <v>12</v>
      </c>
      <c r="BF1" s="191" t="s">
        <v>13</v>
      </c>
      <c r="BG1" s="191" t="s">
        <v>14</v>
      </c>
      <c r="BH1" s="267" t="s">
        <v>15</v>
      </c>
      <c r="BI1" s="195" t="s">
        <v>16</v>
      </c>
      <c r="BJ1" s="241"/>
      <c r="BK1" s="196"/>
    </row>
    <row r="2" spans="1:63" ht="24" customHeight="1" thickBot="1">
      <c r="A2" s="94"/>
      <c r="B2" s="108"/>
      <c r="C2" s="5"/>
      <c r="D2" s="108"/>
      <c r="E2" s="108"/>
      <c r="F2" s="108"/>
      <c r="G2" s="95" t="s">
        <v>262</v>
      </c>
      <c r="H2" s="113"/>
      <c r="I2" s="114"/>
      <c r="J2" s="115"/>
      <c r="K2" s="116"/>
      <c r="L2" s="116"/>
      <c r="M2" s="117"/>
      <c r="N2" s="97" t="s">
        <v>18</v>
      </c>
      <c r="O2" s="235"/>
      <c r="P2" s="236"/>
      <c r="Q2" s="237"/>
      <c r="R2" s="238"/>
      <c r="S2" s="238"/>
      <c r="T2" s="239"/>
      <c r="U2" s="240" t="s">
        <v>18</v>
      </c>
      <c r="V2" s="121">
        <v>2002</v>
      </c>
      <c r="W2" s="122">
        <v>2002</v>
      </c>
      <c r="X2" s="122">
        <v>2002</v>
      </c>
      <c r="Y2" s="122">
        <v>2002</v>
      </c>
      <c r="Z2" s="122">
        <v>2002</v>
      </c>
      <c r="AA2" s="122">
        <v>2002</v>
      </c>
      <c r="AB2" s="123">
        <v>2002</v>
      </c>
      <c r="AC2" s="122">
        <v>2002</v>
      </c>
      <c r="AD2" s="122">
        <v>2002</v>
      </c>
      <c r="AE2" s="122">
        <v>2002</v>
      </c>
      <c r="AF2" s="122">
        <v>2002</v>
      </c>
      <c r="AG2" s="122">
        <v>2002</v>
      </c>
      <c r="AH2" s="260">
        <v>2002</v>
      </c>
      <c r="AI2" s="121">
        <v>2002</v>
      </c>
      <c r="AJ2" s="122">
        <v>2002</v>
      </c>
      <c r="AK2" s="122">
        <v>2002</v>
      </c>
      <c r="AL2" s="122">
        <v>2002</v>
      </c>
      <c r="AM2" s="122">
        <v>2002</v>
      </c>
      <c r="AN2" s="122">
        <v>2002</v>
      </c>
      <c r="AO2" s="123">
        <v>2002</v>
      </c>
      <c r="AP2" s="122">
        <v>2002</v>
      </c>
      <c r="AQ2" s="122">
        <v>2002</v>
      </c>
      <c r="AR2" s="122">
        <v>2002</v>
      </c>
      <c r="AS2" s="122">
        <v>2002</v>
      </c>
      <c r="AT2" s="122">
        <v>2002</v>
      </c>
      <c r="AU2" s="260">
        <v>2002</v>
      </c>
      <c r="AV2" s="121">
        <v>2002</v>
      </c>
      <c r="AW2" s="193">
        <v>2002</v>
      </c>
      <c r="AX2" s="193">
        <v>2002</v>
      </c>
      <c r="AY2" s="193">
        <v>2002</v>
      </c>
      <c r="AZ2" s="193">
        <v>2002</v>
      </c>
      <c r="BA2" s="193">
        <v>2002</v>
      </c>
      <c r="BB2" s="194">
        <v>2002</v>
      </c>
      <c r="BC2" s="193">
        <v>2002</v>
      </c>
      <c r="BD2" s="193">
        <v>2002</v>
      </c>
      <c r="BE2" s="193">
        <v>2002</v>
      </c>
      <c r="BF2" s="193">
        <v>2002</v>
      </c>
      <c r="BG2" s="193">
        <v>2002</v>
      </c>
      <c r="BH2" s="268">
        <v>2002</v>
      </c>
      <c r="BI2" s="197">
        <f ca="1">TODAY()</f>
        <v>37837</v>
      </c>
      <c r="BJ2" s="242"/>
      <c r="BK2" s="198"/>
    </row>
    <row r="3" spans="1:63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40"/>
      <c r="AC3" s="36"/>
      <c r="AD3" s="36"/>
      <c r="AE3" s="36"/>
      <c r="AF3" s="36"/>
      <c r="AG3" s="36"/>
      <c r="AH3" s="261"/>
      <c r="AI3" s="36"/>
      <c r="AJ3" s="36"/>
      <c r="AK3" s="36"/>
      <c r="AL3" s="36"/>
      <c r="AM3" s="36"/>
      <c r="AN3" s="36"/>
      <c r="AO3" s="40"/>
      <c r="AP3" s="36"/>
      <c r="AQ3" s="36"/>
      <c r="AR3" s="36"/>
      <c r="AS3" s="36"/>
      <c r="AT3" s="36"/>
      <c r="AU3" s="261"/>
      <c r="AV3" s="36"/>
      <c r="AW3" s="36"/>
      <c r="AX3" s="36"/>
      <c r="AY3" s="36"/>
      <c r="AZ3" s="36"/>
      <c r="BA3" s="36"/>
      <c r="BB3" s="40"/>
      <c r="BC3" s="36"/>
      <c r="BD3" s="36"/>
      <c r="BE3" s="36"/>
      <c r="BF3" s="36"/>
      <c r="BG3" s="36"/>
      <c r="BH3" s="261"/>
      <c r="BI3" s="36"/>
      <c r="BJ3" s="36"/>
      <c r="BK3" s="36"/>
    </row>
    <row r="4" spans="1:63" ht="12.75">
      <c r="A4" s="143" t="s">
        <v>96</v>
      </c>
      <c r="B4" s="144"/>
      <c r="C4" s="144"/>
      <c r="D4" s="144"/>
      <c r="E4" s="144"/>
      <c r="F4" s="144"/>
      <c r="G4" s="145"/>
      <c r="H4" s="146" t="s">
        <v>97</v>
      </c>
      <c r="I4" s="147" t="s">
        <v>98</v>
      </c>
      <c r="J4" s="147"/>
      <c r="K4" s="147"/>
      <c r="L4" s="147"/>
      <c r="M4" s="147"/>
      <c r="N4" s="148" t="s">
        <v>97</v>
      </c>
      <c r="O4" s="147" t="s">
        <v>97</v>
      </c>
      <c r="P4" s="147" t="s">
        <v>98</v>
      </c>
      <c r="Q4" s="147"/>
      <c r="R4" s="147"/>
      <c r="S4" s="147"/>
      <c r="T4" s="147"/>
      <c r="U4" s="148" t="s">
        <v>97</v>
      </c>
      <c r="V4" s="146" t="s">
        <v>99</v>
      </c>
      <c r="W4" s="149" t="s">
        <v>99</v>
      </c>
      <c r="X4" s="149" t="s">
        <v>99</v>
      </c>
      <c r="Y4" s="149" t="s">
        <v>99</v>
      </c>
      <c r="Z4" s="149" t="s">
        <v>99</v>
      </c>
      <c r="AA4" s="149" t="s">
        <v>99</v>
      </c>
      <c r="AB4" s="150" t="s">
        <v>99</v>
      </c>
      <c r="AC4" s="149" t="s">
        <v>99</v>
      </c>
      <c r="AD4" s="149" t="s">
        <v>99</v>
      </c>
      <c r="AE4" s="149" t="s">
        <v>99</v>
      </c>
      <c r="AF4" s="149" t="s">
        <v>99</v>
      </c>
      <c r="AG4" s="149" t="s">
        <v>99</v>
      </c>
      <c r="AH4" s="262" t="s">
        <v>99</v>
      </c>
      <c r="AI4" s="146" t="s">
        <v>100</v>
      </c>
      <c r="AJ4" s="149" t="s">
        <v>100</v>
      </c>
      <c r="AK4" s="149" t="s">
        <v>100</v>
      </c>
      <c r="AL4" s="149" t="s">
        <v>100</v>
      </c>
      <c r="AM4" s="149" t="s">
        <v>100</v>
      </c>
      <c r="AN4" s="149" t="s">
        <v>100</v>
      </c>
      <c r="AO4" s="150" t="s">
        <v>100</v>
      </c>
      <c r="AP4" s="149" t="s">
        <v>100</v>
      </c>
      <c r="AQ4" s="149" t="s">
        <v>100</v>
      </c>
      <c r="AR4" s="149" t="s">
        <v>100</v>
      </c>
      <c r="AS4" s="149" t="s">
        <v>100</v>
      </c>
      <c r="AT4" s="149" t="s">
        <v>100</v>
      </c>
      <c r="AU4" s="262" t="s">
        <v>100</v>
      </c>
      <c r="AV4" s="146" t="s">
        <v>101</v>
      </c>
      <c r="AW4" s="170" t="s">
        <v>101</v>
      </c>
      <c r="AX4" s="170" t="s">
        <v>101</v>
      </c>
      <c r="AY4" s="170" t="s">
        <v>101</v>
      </c>
      <c r="AZ4" s="170" t="s">
        <v>101</v>
      </c>
      <c r="BA4" s="170" t="s">
        <v>101</v>
      </c>
      <c r="BB4" s="171" t="s">
        <v>101</v>
      </c>
      <c r="BC4" s="170" t="s">
        <v>101</v>
      </c>
      <c r="BD4" s="170" t="s">
        <v>101</v>
      </c>
      <c r="BE4" s="170" t="s">
        <v>101</v>
      </c>
      <c r="BF4" s="170" t="s">
        <v>101</v>
      </c>
      <c r="BG4" s="170" t="s">
        <v>101</v>
      </c>
      <c r="BH4" s="269" t="s">
        <v>101</v>
      </c>
      <c r="BI4" s="146" t="s">
        <v>24</v>
      </c>
      <c r="BJ4" s="243" t="s">
        <v>102</v>
      </c>
      <c r="BK4" s="148" t="s">
        <v>103</v>
      </c>
    </row>
    <row r="5" spans="1:63" ht="12.75">
      <c r="A5" s="151" t="s">
        <v>104</v>
      </c>
      <c r="B5" s="152" t="s">
        <v>105</v>
      </c>
      <c r="C5" s="153" t="s">
        <v>106</v>
      </c>
      <c r="D5" s="152" t="s">
        <v>107</v>
      </c>
      <c r="E5" s="152" t="s">
        <v>108</v>
      </c>
      <c r="F5" s="152" t="s">
        <v>109</v>
      </c>
      <c r="G5" s="154" t="s">
        <v>26</v>
      </c>
      <c r="H5" s="155" t="s">
        <v>28</v>
      </c>
      <c r="I5" s="410" t="s">
        <v>110</v>
      </c>
      <c r="J5" s="411"/>
      <c r="K5" s="157"/>
      <c r="L5" s="157"/>
      <c r="M5" s="157"/>
      <c r="N5" s="158" t="s">
        <v>111</v>
      </c>
      <c r="O5" s="156" t="s">
        <v>28</v>
      </c>
      <c r="P5" s="410" t="s">
        <v>110</v>
      </c>
      <c r="Q5" s="411"/>
      <c r="R5" s="409"/>
      <c r="S5" s="157"/>
      <c r="T5" s="157"/>
      <c r="U5" s="158" t="s">
        <v>111</v>
      </c>
      <c r="V5" s="155" t="s">
        <v>3</v>
      </c>
      <c r="W5" s="159" t="s">
        <v>4</v>
      </c>
      <c r="X5" s="159" t="s">
        <v>5</v>
      </c>
      <c r="Y5" s="159" t="s">
        <v>6</v>
      </c>
      <c r="Z5" s="159" t="s">
        <v>7</v>
      </c>
      <c r="AA5" s="159" t="s">
        <v>8</v>
      </c>
      <c r="AB5" s="160" t="s">
        <v>9</v>
      </c>
      <c r="AC5" s="159" t="s">
        <v>10</v>
      </c>
      <c r="AD5" s="159" t="s">
        <v>11</v>
      </c>
      <c r="AE5" s="159" t="s">
        <v>12</v>
      </c>
      <c r="AF5" s="159" t="s">
        <v>13</v>
      </c>
      <c r="AG5" s="159" t="s">
        <v>14</v>
      </c>
      <c r="AH5" s="263" t="s">
        <v>32</v>
      </c>
      <c r="AI5" s="155" t="s">
        <v>3</v>
      </c>
      <c r="AJ5" s="159" t="s">
        <v>4</v>
      </c>
      <c r="AK5" s="159" t="s">
        <v>5</v>
      </c>
      <c r="AL5" s="159" t="s">
        <v>6</v>
      </c>
      <c r="AM5" s="159" t="s">
        <v>7</v>
      </c>
      <c r="AN5" s="159" t="s">
        <v>8</v>
      </c>
      <c r="AO5" s="160" t="s">
        <v>9</v>
      </c>
      <c r="AP5" s="159" t="s">
        <v>10</v>
      </c>
      <c r="AQ5" s="159" t="s">
        <v>11</v>
      </c>
      <c r="AR5" s="159" t="s">
        <v>12</v>
      </c>
      <c r="AS5" s="159" t="s">
        <v>13</v>
      </c>
      <c r="AT5" s="159" t="s">
        <v>14</v>
      </c>
      <c r="AU5" s="263" t="s">
        <v>32</v>
      </c>
      <c r="AV5" s="155" t="s">
        <v>3</v>
      </c>
      <c r="AW5" s="157" t="s">
        <v>4</v>
      </c>
      <c r="AX5" s="157" t="s">
        <v>5</v>
      </c>
      <c r="AY5" s="157" t="s">
        <v>6</v>
      </c>
      <c r="AZ5" s="157" t="s">
        <v>7</v>
      </c>
      <c r="BA5" s="157" t="s">
        <v>8</v>
      </c>
      <c r="BB5" s="169" t="s">
        <v>9</v>
      </c>
      <c r="BC5" s="157" t="s">
        <v>10</v>
      </c>
      <c r="BD5" s="157" t="s">
        <v>11</v>
      </c>
      <c r="BE5" s="157" t="s">
        <v>12</v>
      </c>
      <c r="BF5" s="157" t="s">
        <v>13</v>
      </c>
      <c r="BG5" s="157" t="s">
        <v>14</v>
      </c>
      <c r="BH5" s="270" t="s">
        <v>32</v>
      </c>
      <c r="BI5" s="155" t="s">
        <v>97</v>
      </c>
      <c r="BJ5" s="244" t="s">
        <v>112</v>
      </c>
      <c r="BK5" s="158" t="s">
        <v>113</v>
      </c>
    </row>
    <row r="6" spans="1:63" ht="13.5" thickBot="1">
      <c r="A6" s="161"/>
      <c r="B6" s="162"/>
      <c r="C6" s="162" t="s">
        <v>114</v>
      </c>
      <c r="D6" s="162" t="s">
        <v>115</v>
      </c>
      <c r="E6" s="162" t="s">
        <v>116</v>
      </c>
      <c r="F6" s="162"/>
      <c r="G6" s="163"/>
      <c r="H6" s="164" t="s">
        <v>34</v>
      </c>
      <c r="I6" s="165" t="s">
        <v>117</v>
      </c>
      <c r="J6" s="165" t="s">
        <v>118</v>
      </c>
      <c r="K6" s="165" t="s">
        <v>119</v>
      </c>
      <c r="L6" s="165" t="s">
        <v>120</v>
      </c>
      <c r="M6" s="165" t="s">
        <v>121</v>
      </c>
      <c r="N6" s="166" t="s">
        <v>122</v>
      </c>
      <c r="O6" s="165" t="s">
        <v>34</v>
      </c>
      <c r="P6" s="165" t="s">
        <v>123</v>
      </c>
      <c r="Q6" s="165" t="s">
        <v>124</v>
      </c>
      <c r="R6" s="165" t="s">
        <v>125</v>
      </c>
      <c r="S6" s="165" t="s">
        <v>30</v>
      </c>
      <c r="T6" s="165" t="s">
        <v>29</v>
      </c>
      <c r="U6" s="166" t="s">
        <v>122</v>
      </c>
      <c r="V6" s="164"/>
      <c r="W6" s="167"/>
      <c r="X6" s="167"/>
      <c r="Y6" s="167"/>
      <c r="Z6" s="167"/>
      <c r="AA6" s="167"/>
      <c r="AB6" s="168"/>
      <c r="AC6" s="167"/>
      <c r="AD6" s="167"/>
      <c r="AE6" s="167"/>
      <c r="AF6" s="167"/>
      <c r="AG6" s="167"/>
      <c r="AH6" s="264" t="s">
        <v>126</v>
      </c>
      <c r="AI6" s="164"/>
      <c r="AJ6" s="167"/>
      <c r="AK6" s="167"/>
      <c r="AL6" s="167"/>
      <c r="AM6" s="167"/>
      <c r="AN6" s="167"/>
      <c r="AO6" s="168"/>
      <c r="AP6" s="167"/>
      <c r="AQ6" s="167"/>
      <c r="AR6" s="167"/>
      <c r="AS6" s="167"/>
      <c r="AT6" s="167"/>
      <c r="AU6" s="264" t="s">
        <v>38</v>
      </c>
      <c r="AV6" s="164"/>
      <c r="AW6" s="165"/>
      <c r="AX6" s="165"/>
      <c r="AY6" s="165"/>
      <c r="AZ6" s="165"/>
      <c r="BA6" s="165"/>
      <c r="BB6" s="172"/>
      <c r="BC6" s="165"/>
      <c r="BD6" s="165"/>
      <c r="BE6" s="165"/>
      <c r="BF6" s="165"/>
      <c r="BG6" s="165"/>
      <c r="BH6" s="271" t="s">
        <v>39</v>
      </c>
      <c r="BI6" s="164" t="s">
        <v>127</v>
      </c>
      <c r="BJ6" s="245" t="s">
        <v>128</v>
      </c>
      <c r="BK6" s="166" t="s">
        <v>129</v>
      </c>
    </row>
    <row r="7" spans="1:63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  <c r="AC7" s="36"/>
      <c r="AD7" s="36"/>
      <c r="AE7" s="36"/>
      <c r="AF7" s="36"/>
      <c r="AG7" s="36"/>
      <c r="AH7" s="261"/>
      <c r="AI7" s="36"/>
      <c r="AJ7" s="36"/>
      <c r="AK7" s="36"/>
      <c r="AL7" s="36"/>
      <c r="AM7" s="36"/>
      <c r="AN7" s="36"/>
      <c r="AO7" s="40"/>
      <c r="AP7" s="36"/>
      <c r="AQ7" s="36"/>
      <c r="AR7" s="36"/>
      <c r="AS7" s="36"/>
      <c r="AT7" s="36"/>
      <c r="AU7" s="261"/>
      <c r="AV7" s="36"/>
      <c r="AW7" s="36"/>
      <c r="AX7" s="36"/>
      <c r="AY7" s="36"/>
      <c r="AZ7" s="36"/>
      <c r="BA7" s="36"/>
      <c r="BB7" s="40"/>
      <c r="BC7" s="36"/>
      <c r="BD7" s="36"/>
      <c r="BE7" s="36"/>
      <c r="BF7" s="36"/>
      <c r="BG7" s="36"/>
      <c r="BH7" s="261"/>
      <c r="BI7" s="36"/>
      <c r="BJ7" s="36"/>
      <c r="BK7" s="36"/>
    </row>
    <row r="8" spans="1:63" ht="13.5" thickBot="1">
      <c r="A8" s="124" t="s">
        <v>130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8"/>
      <c r="BC8" s="127"/>
      <c r="BD8" s="127"/>
      <c r="BE8" s="127"/>
      <c r="BF8" s="127"/>
      <c r="BG8" s="127"/>
      <c r="BH8" s="127"/>
      <c r="BI8" s="127"/>
      <c r="BJ8" s="127"/>
      <c r="BK8" s="129"/>
    </row>
    <row r="9" spans="1:63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0"/>
      <c r="AC9" s="36"/>
      <c r="AD9" s="36"/>
      <c r="AE9" s="36"/>
      <c r="AF9" s="36"/>
      <c r="AG9" s="36"/>
      <c r="AH9" s="261"/>
      <c r="AI9" s="36"/>
      <c r="AJ9" s="36"/>
      <c r="AK9" s="36"/>
      <c r="AL9" s="36"/>
      <c r="AM9" s="36"/>
      <c r="AN9" s="36"/>
      <c r="AO9" s="40"/>
      <c r="AP9" s="36"/>
      <c r="AQ9" s="36"/>
      <c r="AR9" s="36"/>
      <c r="AS9" s="36"/>
      <c r="AT9" s="36"/>
      <c r="AU9" s="261"/>
      <c r="AV9" s="36"/>
      <c r="AW9" s="36"/>
      <c r="AX9" s="36"/>
      <c r="AY9" s="36"/>
      <c r="AZ9" s="36"/>
      <c r="BA9" s="36"/>
      <c r="BB9" s="40"/>
      <c r="BC9" s="36"/>
      <c r="BD9" s="36"/>
      <c r="BE9" s="36"/>
      <c r="BF9" s="36"/>
      <c r="BG9" s="36"/>
      <c r="BH9" s="261"/>
      <c r="BI9" s="36"/>
      <c r="BJ9" s="36"/>
      <c r="BK9" s="36"/>
    </row>
    <row r="10" spans="1:63" s="102" customFormat="1" ht="21" customHeight="1" thickBot="1">
      <c r="A10" s="175" t="s">
        <v>131</v>
      </c>
      <c r="B10" s="176" t="s">
        <v>132</v>
      </c>
      <c r="C10" s="176" t="s">
        <v>132</v>
      </c>
      <c r="D10" s="176" t="s">
        <v>132</v>
      </c>
      <c r="E10" s="176" t="s">
        <v>132</v>
      </c>
      <c r="F10" s="176"/>
      <c r="G10" s="177" t="s">
        <v>133</v>
      </c>
      <c r="H10" s="178">
        <f aca="true" t="shared" si="0" ref="H10:M10">H11+H21+H25+H33</f>
        <v>15351476769</v>
      </c>
      <c r="I10" s="179">
        <f t="shared" si="0"/>
        <v>-145000000</v>
      </c>
      <c r="J10" s="179">
        <f t="shared" si="0"/>
        <v>145000000</v>
      </c>
      <c r="K10" s="179">
        <f t="shared" si="0"/>
        <v>0</v>
      </c>
      <c r="L10" s="179">
        <f t="shared" si="0"/>
        <v>0</v>
      </c>
      <c r="M10" s="179">
        <f t="shared" si="0"/>
        <v>3046100000</v>
      </c>
      <c r="N10" s="180">
        <f aca="true" t="shared" si="1" ref="N10:N32">SUM(H10:M10)</f>
        <v>18397576769</v>
      </c>
      <c r="O10" s="178">
        <f aca="true" t="shared" si="2" ref="O10:T10">O11+O21+O25+O33</f>
        <v>15623329140</v>
      </c>
      <c r="P10" s="179">
        <f t="shared" si="2"/>
        <v>-3878678196</v>
      </c>
      <c r="Q10" s="179">
        <f t="shared" si="2"/>
        <v>3878678196</v>
      </c>
      <c r="R10" s="179">
        <f t="shared" si="2"/>
        <v>0</v>
      </c>
      <c r="S10" s="179">
        <f t="shared" si="2"/>
        <v>-271852371</v>
      </c>
      <c r="T10" s="179">
        <f t="shared" si="2"/>
        <v>3046100000</v>
      </c>
      <c r="U10" s="180">
        <f aca="true" t="shared" si="3" ref="U10:U20">SUM(O10:T10)</f>
        <v>18397576769</v>
      </c>
      <c r="V10" s="178">
        <f aca="true" t="shared" si="4" ref="V10:AG10">V11+V21+V25+V33</f>
        <v>835104638</v>
      </c>
      <c r="W10" s="179">
        <f t="shared" si="4"/>
        <v>1474384343</v>
      </c>
      <c r="X10" s="179">
        <f t="shared" si="4"/>
        <v>1137738448</v>
      </c>
      <c r="Y10" s="179">
        <f t="shared" si="4"/>
        <v>999031379</v>
      </c>
      <c r="Z10" s="179">
        <f t="shared" si="4"/>
        <v>977503917</v>
      </c>
      <c r="AA10" s="179">
        <f t="shared" si="4"/>
        <v>1330227758</v>
      </c>
      <c r="AB10" s="181">
        <f t="shared" si="4"/>
        <v>1049735637</v>
      </c>
      <c r="AC10" s="179">
        <f t="shared" si="4"/>
        <v>911123099</v>
      </c>
      <c r="AD10" s="179">
        <f t="shared" si="4"/>
        <v>1167323679</v>
      </c>
      <c r="AE10" s="179">
        <f t="shared" si="4"/>
        <v>1053197024</v>
      </c>
      <c r="AF10" s="179">
        <f t="shared" si="4"/>
        <v>803633379</v>
      </c>
      <c r="AG10" s="179">
        <f t="shared" si="4"/>
        <v>5628214165</v>
      </c>
      <c r="AH10" s="180">
        <f aca="true" t="shared" si="5" ref="AH10:AH20">SUM(V10:AG10)</f>
        <v>17367217466</v>
      </c>
      <c r="AI10" s="178">
        <f aca="true" t="shared" si="6" ref="AI10:AT10">AI11+AI21+AI25+AI33</f>
        <v>489439686</v>
      </c>
      <c r="AJ10" s="179">
        <f t="shared" si="6"/>
        <v>935104376</v>
      </c>
      <c r="AK10" s="179">
        <f t="shared" si="6"/>
        <v>838950636</v>
      </c>
      <c r="AL10" s="179">
        <f t="shared" si="6"/>
        <v>1441619783</v>
      </c>
      <c r="AM10" s="179">
        <f t="shared" si="6"/>
        <v>1022058886</v>
      </c>
      <c r="AN10" s="179">
        <f t="shared" si="6"/>
        <v>1371584821</v>
      </c>
      <c r="AO10" s="181">
        <f t="shared" si="6"/>
        <v>1070948043</v>
      </c>
      <c r="AP10" s="179">
        <f t="shared" si="6"/>
        <v>966200828</v>
      </c>
      <c r="AQ10" s="179">
        <f t="shared" si="6"/>
        <v>1250983258</v>
      </c>
      <c r="AR10" s="179">
        <f t="shared" si="6"/>
        <v>954641654</v>
      </c>
      <c r="AS10" s="179">
        <f t="shared" si="6"/>
        <v>859016389</v>
      </c>
      <c r="AT10" s="179">
        <f t="shared" si="6"/>
        <v>6166669106</v>
      </c>
      <c r="AU10" s="180">
        <f>SUM(AI10:AT10)</f>
        <v>17367217466</v>
      </c>
      <c r="AV10" s="178">
        <f aca="true" t="shared" si="7" ref="AV10:BG10">AV11+AV21+AV25+AV33</f>
        <v>489439686</v>
      </c>
      <c r="AW10" s="179">
        <f t="shared" si="7"/>
        <v>935104376</v>
      </c>
      <c r="AX10" s="179">
        <f t="shared" si="7"/>
        <v>838950636</v>
      </c>
      <c r="AY10" s="179">
        <f t="shared" si="7"/>
        <v>1441619783</v>
      </c>
      <c r="AZ10" s="179">
        <f t="shared" si="7"/>
        <v>1022058886</v>
      </c>
      <c r="BA10" s="179">
        <f t="shared" si="7"/>
        <v>1371584821</v>
      </c>
      <c r="BB10" s="181">
        <f t="shared" si="7"/>
        <v>1070948043</v>
      </c>
      <c r="BC10" s="179">
        <f t="shared" si="7"/>
        <v>966200828</v>
      </c>
      <c r="BD10" s="179">
        <f t="shared" si="7"/>
        <v>1250983258</v>
      </c>
      <c r="BE10" s="179">
        <f t="shared" si="7"/>
        <v>954641654</v>
      </c>
      <c r="BF10" s="179">
        <f t="shared" si="7"/>
        <v>859016389</v>
      </c>
      <c r="BG10" s="179">
        <f t="shared" si="7"/>
        <v>5157096581</v>
      </c>
      <c r="BH10" s="180">
        <f aca="true" t="shared" si="8" ref="BH10:BH20">SUM(AV10:BG10)</f>
        <v>16357644941</v>
      </c>
      <c r="BI10" s="178">
        <f>U10-AH10</f>
        <v>1030359303</v>
      </c>
      <c r="BJ10" s="246">
        <f>AH10-AU10</f>
        <v>0</v>
      </c>
      <c r="BK10" s="180">
        <f>AU10-BH10</f>
        <v>1009572525</v>
      </c>
    </row>
    <row r="11" spans="1:63" s="102" customFormat="1" ht="21" customHeight="1">
      <c r="A11" s="182" t="s">
        <v>131</v>
      </c>
      <c r="B11" s="183" t="s">
        <v>134</v>
      </c>
      <c r="C11" s="184" t="s">
        <v>135</v>
      </c>
      <c r="D11" s="183" t="s">
        <v>132</v>
      </c>
      <c r="E11" s="183" t="s">
        <v>132</v>
      </c>
      <c r="F11" s="183"/>
      <c r="G11" s="185" t="s">
        <v>136</v>
      </c>
      <c r="H11" s="186">
        <f aca="true" t="shared" si="9" ref="H11:T11">SUM(H12:H20)</f>
        <v>9896505349</v>
      </c>
      <c r="I11" s="187">
        <f t="shared" si="9"/>
        <v>0</v>
      </c>
      <c r="J11" s="187">
        <f t="shared" si="9"/>
        <v>0</v>
      </c>
      <c r="K11" s="187">
        <f t="shared" si="9"/>
        <v>0</v>
      </c>
      <c r="L11" s="187">
        <f t="shared" si="9"/>
        <v>0</v>
      </c>
      <c r="M11" s="187">
        <f t="shared" si="9"/>
        <v>0</v>
      </c>
      <c r="N11" s="188">
        <f t="shared" si="1"/>
        <v>9896505349</v>
      </c>
      <c r="O11" s="186">
        <f t="shared" si="9"/>
        <v>7466406563</v>
      </c>
      <c r="P11" s="187">
        <f t="shared" si="9"/>
        <v>-625000</v>
      </c>
      <c r="Q11" s="187">
        <f t="shared" si="9"/>
        <v>2430723786</v>
      </c>
      <c r="R11" s="187">
        <f t="shared" si="9"/>
        <v>0</v>
      </c>
      <c r="S11" s="187">
        <f t="shared" si="9"/>
        <v>0</v>
      </c>
      <c r="T11" s="187">
        <f t="shared" si="9"/>
        <v>0</v>
      </c>
      <c r="U11" s="188">
        <f t="shared" si="3"/>
        <v>9896505349</v>
      </c>
      <c r="V11" s="186">
        <f aca="true" t="shared" si="10" ref="V11:AI11">SUM(V12:V20)</f>
        <v>528846192</v>
      </c>
      <c r="W11" s="187">
        <f t="shared" si="10"/>
        <v>683899774</v>
      </c>
      <c r="X11" s="187">
        <f t="shared" si="10"/>
        <v>620082074</v>
      </c>
      <c r="Y11" s="187">
        <f t="shared" si="10"/>
        <v>724679285</v>
      </c>
      <c r="Z11" s="187">
        <f t="shared" si="10"/>
        <v>697888430</v>
      </c>
      <c r="AA11" s="187">
        <f t="shared" si="10"/>
        <v>1121966214</v>
      </c>
      <c r="AB11" s="189">
        <f t="shared" si="10"/>
        <v>740981267</v>
      </c>
      <c r="AC11" s="187">
        <f t="shared" si="10"/>
        <v>641487968</v>
      </c>
      <c r="AD11" s="187">
        <f t="shared" si="10"/>
        <v>664226930</v>
      </c>
      <c r="AE11" s="187">
        <f t="shared" si="10"/>
        <v>658979271</v>
      </c>
      <c r="AF11" s="187">
        <f t="shared" si="10"/>
        <v>639909793</v>
      </c>
      <c r="AG11" s="187">
        <f t="shared" si="10"/>
        <v>1953921841</v>
      </c>
      <c r="AH11" s="188">
        <f t="shared" si="5"/>
        <v>9676869039</v>
      </c>
      <c r="AI11" s="186">
        <f t="shared" si="10"/>
        <v>401080285</v>
      </c>
      <c r="AJ11" s="187">
        <f aca="true" t="shared" si="11" ref="AJ11:AT11">SUM(AJ12:AJ20)</f>
        <v>673534404</v>
      </c>
      <c r="AK11" s="187">
        <f t="shared" si="11"/>
        <v>614997226</v>
      </c>
      <c r="AL11" s="187">
        <f t="shared" si="11"/>
        <v>759998012</v>
      </c>
      <c r="AM11" s="187">
        <f t="shared" si="11"/>
        <v>714846934</v>
      </c>
      <c r="AN11" s="187">
        <f t="shared" si="11"/>
        <v>1128197272</v>
      </c>
      <c r="AO11" s="189">
        <f t="shared" si="11"/>
        <v>738438449</v>
      </c>
      <c r="AP11" s="187">
        <f t="shared" si="11"/>
        <v>657195395</v>
      </c>
      <c r="AQ11" s="187">
        <f t="shared" si="11"/>
        <v>676346236</v>
      </c>
      <c r="AR11" s="187">
        <f t="shared" si="11"/>
        <v>669435692</v>
      </c>
      <c r="AS11" s="187">
        <f t="shared" si="11"/>
        <v>652530820</v>
      </c>
      <c r="AT11" s="187">
        <f t="shared" si="11"/>
        <v>1990268314</v>
      </c>
      <c r="AU11" s="188">
        <f>SUM(AI11:AT11)</f>
        <v>9676869039</v>
      </c>
      <c r="AV11" s="186">
        <f>SUM(AV12:AV20)</f>
        <v>401080285</v>
      </c>
      <c r="AW11" s="187">
        <f>SUM(AW12:AW20)</f>
        <v>673534404</v>
      </c>
      <c r="AX11" s="187">
        <f>SUM(AX12:AX20)</f>
        <v>614997226</v>
      </c>
      <c r="AY11" s="187">
        <f aca="true" t="shared" si="12" ref="AY11:BG11">SUM(AY12:AY20)</f>
        <v>759998012</v>
      </c>
      <c r="AZ11" s="187">
        <f t="shared" si="12"/>
        <v>714846934</v>
      </c>
      <c r="BA11" s="187">
        <f t="shared" si="12"/>
        <v>1128197272</v>
      </c>
      <c r="BB11" s="189">
        <f t="shared" si="12"/>
        <v>738438449</v>
      </c>
      <c r="BC11" s="187">
        <f t="shared" si="12"/>
        <v>657195395</v>
      </c>
      <c r="BD11" s="187">
        <f t="shared" si="12"/>
        <v>676346236</v>
      </c>
      <c r="BE11" s="187">
        <f t="shared" si="12"/>
        <v>669435692</v>
      </c>
      <c r="BF11" s="187">
        <f t="shared" si="12"/>
        <v>652530820</v>
      </c>
      <c r="BG11" s="187">
        <f t="shared" si="12"/>
        <v>1601274954</v>
      </c>
      <c r="BH11" s="188">
        <f t="shared" si="8"/>
        <v>9287875679</v>
      </c>
      <c r="BI11" s="272">
        <f>U11-AH11</f>
        <v>219636310</v>
      </c>
      <c r="BJ11" s="273">
        <f>AH11-AU11</f>
        <v>0</v>
      </c>
      <c r="BK11" s="274">
        <f>AU11-BH11</f>
        <v>388993360</v>
      </c>
    </row>
    <row r="12" spans="1:63" ht="21" customHeight="1">
      <c r="A12" s="136" t="s">
        <v>131</v>
      </c>
      <c r="B12" s="130" t="s">
        <v>134</v>
      </c>
      <c r="C12" s="130" t="s">
        <v>137</v>
      </c>
      <c r="D12" s="130" t="s">
        <v>135</v>
      </c>
      <c r="E12" s="130" t="s">
        <v>135</v>
      </c>
      <c r="F12" s="130" t="s">
        <v>138</v>
      </c>
      <c r="G12" s="131" t="s">
        <v>139</v>
      </c>
      <c r="H12" s="173">
        <f aca="true" t="shared" si="13" ref="H12:H20">U12-SUM(I12:M12)</f>
        <v>5333067024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257">
        <f t="shared" si="1"/>
        <v>5333067024</v>
      </c>
      <c r="O12" s="173">
        <v>3824465625</v>
      </c>
      <c r="P12" s="132">
        <v>0</v>
      </c>
      <c r="Q12" s="132">
        <v>1508601399</v>
      </c>
      <c r="R12" s="132">
        <v>0</v>
      </c>
      <c r="S12" s="132">
        <v>0</v>
      </c>
      <c r="T12" s="132">
        <v>0</v>
      </c>
      <c r="U12" s="257">
        <f t="shared" si="3"/>
        <v>5333067024</v>
      </c>
      <c r="V12" s="173">
        <v>341363045</v>
      </c>
      <c r="W12" s="132">
        <v>424985599</v>
      </c>
      <c r="X12" s="132">
        <v>416117789</v>
      </c>
      <c r="Y12" s="132">
        <v>498944803</v>
      </c>
      <c r="Z12" s="132">
        <v>455189050</v>
      </c>
      <c r="AA12" s="132">
        <v>453399315</v>
      </c>
      <c r="AB12" s="133">
        <v>429553671</v>
      </c>
      <c r="AC12" s="132">
        <v>437561933</v>
      </c>
      <c r="AD12" s="132">
        <v>442455148</v>
      </c>
      <c r="AE12" s="132">
        <v>448241097</v>
      </c>
      <c r="AF12" s="132">
        <v>432237031</v>
      </c>
      <c r="AG12" s="132">
        <v>504781335</v>
      </c>
      <c r="AH12" s="257">
        <f t="shared" si="5"/>
        <v>5284829816</v>
      </c>
      <c r="AI12" s="173">
        <f aca="true" t="shared" si="14" ref="AI12:AI20">AV12</f>
        <v>341006511</v>
      </c>
      <c r="AJ12" s="132">
        <f aca="true" t="shared" si="15" ref="AJ12:AJ20">AW12</f>
        <v>421053574</v>
      </c>
      <c r="AK12" s="132">
        <f aca="true" t="shared" si="16" ref="AK12:AK20">AX12</f>
        <v>413480169</v>
      </c>
      <c r="AL12" s="132">
        <f aca="true" t="shared" si="17" ref="AL12:AL20">AY12</f>
        <v>501582423</v>
      </c>
      <c r="AM12" s="132">
        <f aca="true" t="shared" si="18" ref="AM12:AM20">AZ12</f>
        <v>459477609</v>
      </c>
      <c r="AN12" s="132">
        <f aca="true" t="shared" si="19" ref="AN12:AN20">BA12</f>
        <v>453399315</v>
      </c>
      <c r="AO12" s="133">
        <f aca="true" t="shared" si="20" ref="AO12:AO20">BB12</f>
        <v>429553671</v>
      </c>
      <c r="AP12" s="132">
        <f aca="true" t="shared" si="21" ref="AP12:AP20">BC12</f>
        <v>437561933</v>
      </c>
      <c r="AQ12" s="132">
        <f aca="true" t="shared" si="22" ref="AQ12:AQ20">BD12</f>
        <v>442283080</v>
      </c>
      <c r="AR12" s="132">
        <f aca="true" t="shared" si="23" ref="AR12:AR20">BE12</f>
        <v>445963445</v>
      </c>
      <c r="AS12" s="132">
        <f aca="true" t="shared" si="24" ref="AS12:AS20">BF12</f>
        <v>434633403</v>
      </c>
      <c r="AT12" s="132">
        <f aca="true" t="shared" si="25" ref="AT12:AT20">AH12-SUM(AI12:AS12)</f>
        <v>504834683</v>
      </c>
      <c r="AU12" s="257">
        <f aca="true" t="shared" si="26" ref="AU12:AU20">SUM(AI12:AT12)</f>
        <v>5284829816</v>
      </c>
      <c r="AV12" s="173">
        <v>341006511</v>
      </c>
      <c r="AW12" s="132">
        <v>421053574</v>
      </c>
      <c r="AX12" s="132">
        <v>413480169</v>
      </c>
      <c r="AY12" s="132">
        <v>501582423</v>
      </c>
      <c r="AZ12" s="132">
        <v>459477609</v>
      </c>
      <c r="BA12" s="132">
        <v>453399315</v>
      </c>
      <c r="BB12" s="133">
        <v>429553671</v>
      </c>
      <c r="BC12" s="132">
        <v>437561933</v>
      </c>
      <c r="BD12" s="132">
        <v>442283080</v>
      </c>
      <c r="BE12" s="132">
        <v>445963445</v>
      </c>
      <c r="BF12" s="132">
        <v>434633403</v>
      </c>
      <c r="BG12" s="132">
        <v>504019084</v>
      </c>
      <c r="BH12" s="257">
        <f t="shared" si="8"/>
        <v>5284014217</v>
      </c>
      <c r="BI12" s="275">
        <f aca="true" t="shared" si="27" ref="BI12:BI20">U12-AH12</f>
        <v>48237208</v>
      </c>
      <c r="BJ12" s="276">
        <f aca="true" t="shared" si="28" ref="BJ12:BJ20">AH12-AU12</f>
        <v>0</v>
      </c>
      <c r="BK12" s="277">
        <f aca="true" t="shared" si="29" ref="BK12:BK20">AU12-BH12</f>
        <v>815599</v>
      </c>
    </row>
    <row r="13" spans="1:63" ht="21" customHeight="1">
      <c r="A13" s="136" t="s">
        <v>131</v>
      </c>
      <c r="B13" s="130" t="s">
        <v>134</v>
      </c>
      <c r="C13" s="130" t="s">
        <v>137</v>
      </c>
      <c r="D13" s="130" t="s">
        <v>135</v>
      </c>
      <c r="E13" s="130" t="s">
        <v>140</v>
      </c>
      <c r="F13" s="130" t="s">
        <v>138</v>
      </c>
      <c r="G13" s="131" t="s">
        <v>141</v>
      </c>
      <c r="H13" s="173">
        <f t="shared" si="13"/>
        <v>55942002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257">
        <f t="shared" si="1"/>
        <v>55942002</v>
      </c>
      <c r="O13" s="173">
        <v>44325000</v>
      </c>
      <c r="P13" s="132">
        <v>0</v>
      </c>
      <c r="Q13" s="132">
        <v>11617002</v>
      </c>
      <c r="R13" s="132">
        <v>0</v>
      </c>
      <c r="S13" s="132">
        <v>0</v>
      </c>
      <c r="T13" s="132">
        <v>0</v>
      </c>
      <c r="U13" s="257">
        <f t="shared" si="3"/>
        <v>55942002</v>
      </c>
      <c r="V13" s="173">
        <v>184682</v>
      </c>
      <c r="W13" s="132">
        <v>3088482</v>
      </c>
      <c r="X13" s="132">
        <v>2308701</v>
      </c>
      <c r="Y13" s="132">
        <v>2701981</v>
      </c>
      <c r="Z13" s="132">
        <v>2387022</v>
      </c>
      <c r="AA13" s="132">
        <v>2351811</v>
      </c>
      <c r="AB13" s="133">
        <v>2384166</v>
      </c>
      <c r="AC13" s="132">
        <v>2391616</v>
      </c>
      <c r="AD13" s="132">
        <v>2332321</v>
      </c>
      <c r="AE13" s="132">
        <v>2421540</v>
      </c>
      <c r="AF13" s="132">
        <v>2561392</v>
      </c>
      <c r="AG13" s="132">
        <v>2565856</v>
      </c>
      <c r="AH13" s="257">
        <f t="shared" si="5"/>
        <v>27679570</v>
      </c>
      <c r="AI13" s="173">
        <f t="shared" si="14"/>
        <v>184682</v>
      </c>
      <c r="AJ13" s="132">
        <f t="shared" si="15"/>
        <v>3088482</v>
      </c>
      <c r="AK13" s="132">
        <f t="shared" si="16"/>
        <v>2308701</v>
      </c>
      <c r="AL13" s="132">
        <f t="shared" si="17"/>
        <v>2701981</v>
      </c>
      <c r="AM13" s="132">
        <f t="shared" si="18"/>
        <v>2387022</v>
      </c>
      <c r="AN13" s="132">
        <f t="shared" si="19"/>
        <v>2351811</v>
      </c>
      <c r="AO13" s="133">
        <f t="shared" si="20"/>
        <v>2384166</v>
      </c>
      <c r="AP13" s="132">
        <f t="shared" si="21"/>
        <v>2391616</v>
      </c>
      <c r="AQ13" s="132">
        <f t="shared" si="22"/>
        <v>2332321</v>
      </c>
      <c r="AR13" s="132">
        <f t="shared" si="23"/>
        <v>2421540</v>
      </c>
      <c r="AS13" s="132">
        <f t="shared" si="24"/>
        <v>2561392</v>
      </c>
      <c r="AT13" s="132">
        <f t="shared" si="25"/>
        <v>2565856</v>
      </c>
      <c r="AU13" s="257">
        <f t="shared" si="26"/>
        <v>27679570</v>
      </c>
      <c r="AV13" s="173">
        <v>184682</v>
      </c>
      <c r="AW13" s="132">
        <v>3088482</v>
      </c>
      <c r="AX13" s="132">
        <v>2308701</v>
      </c>
      <c r="AY13" s="132">
        <v>2701981</v>
      </c>
      <c r="AZ13" s="132">
        <v>2387022</v>
      </c>
      <c r="BA13" s="132">
        <v>2351811</v>
      </c>
      <c r="BB13" s="133">
        <v>2384166</v>
      </c>
      <c r="BC13" s="132">
        <v>2391616</v>
      </c>
      <c r="BD13" s="132">
        <v>2332321</v>
      </c>
      <c r="BE13" s="132">
        <v>2421540</v>
      </c>
      <c r="BF13" s="132">
        <v>2561392</v>
      </c>
      <c r="BG13" s="132">
        <v>2565856</v>
      </c>
      <c r="BH13" s="257">
        <f t="shared" si="8"/>
        <v>27679570</v>
      </c>
      <c r="BI13" s="275">
        <f t="shared" si="27"/>
        <v>28262432</v>
      </c>
      <c r="BJ13" s="276">
        <f t="shared" si="28"/>
        <v>0</v>
      </c>
      <c r="BK13" s="277">
        <f t="shared" si="29"/>
        <v>0</v>
      </c>
    </row>
    <row r="14" spans="1:63" ht="21" customHeight="1">
      <c r="A14" s="136" t="s">
        <v>131</v>
      </c>
      <c r="B14" s="130" t="s">
        <v>134</v>
      </c>
      <c r="C14" s="130" t="s">
        <v>137</v>
      </c>
      <c r="D14" s="130" t="s">
        <v>135</v>
      </c>
      <c r="E14" s="130" t="s">
        <v>142</v>
      </c>
      <c r="F14" s="130" t="s">
        <v>138</v>
      </c>
      <c r="G14" s="131" t="s">
        <v>143</v>
      </c>
      <c r="H14" s="173">
        <f t="shared" si="13"/>
        <v>49084596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257">
        <f t="shared" si="1"/>
        <v>49084596</v>
      </c>
      <c r="O14" s="173">
        <v>27975000</v>
      </c>
      <c r="P14" s="132">
        <v>0</v>
      </c>
      <c r="Q14" s="132">
        <v>21109596</v>
      </c>
      <c r="R14" s="132">
        <v>0</v>
      </c>
      <c r="S14" s="132">
        <v>0</v>
      </c>
      <c r="T14" s="132">
        <v>0</v>
      </c>
      <c r="U14" s="257">
        <f t="shared" si="3"/>
        <v>49084596</v>
      </c>
      <c r="V14" s="173">
        <v>3225035</v>
      </c>
      <c r="W14" s="132">
        <v>2546742</v>
      </c>
      <c r="X14" s="132">
        <v>0</v>
      </c>
      <c r="Y14" s="132">
        <v>1303994</v>
      </c>
      <c r="Z14" s="132">
        <v>4477226</v>
      </c>
      <c r="AA14" s="132">
        <v>3135158</v>
      </c>
      <c r="AB14" s="133">
        <v>4509494</v>
      </c>
      <c r="AC14" s="132">
        <v>4395747</v>
      </c>
      <c r="AD14" s="132">
        <v>7354207</v>
      </c>
      <c r="AE14" s="132">
        <v>836662</v>
      </c>
      <c r="AF14" s="132">
        <v>2468376</v>
      </c>
      <c r="AG14" s="132">
        <v>6266485</v>
      </c>
      <c r="AH14" s="257">
        <f t="shared" si="5"/>
        <v>40519126</v>
      </c>
      <c r="AI14" s="173">
        <f t="shared" si="14"/>
        <v>3225035</v>
      </c>
      <c r="AJ14" s="132">
        <f t="shared" si="15"/>
        <v>2546742</v>
      </c>
      <c r="AK14" s="132">
        <f t="shared" si="16"/>
        <v>0</v>
      </c>
      <c r="AL14" s="132">
        <f t="shared" si="17"/>
        <v>1303994</v>
      </c>
      <c r="AM14" s="132">
        <f t="shared" si="18"/>
        <v>4477226</v>
      </c>
      <c r="AN14" s="132">
        <f t="shared" si="19"/>
        <v>3135158</v>
      </c>
      <c r="AO14" s="133">
        <f t="shared" si="20"/>
        <v>4509494</v>
      </c>
      <c r="AP14" s="132">
        <f t="shared" si="21"/>
        <v>4395747</v>
      </c>
      <c r="AQ14" s="132">
        <f t="shared" si="22"/>
        <v>7354207</v>
      </c>
      <c r="AR14" s="132">
        <f t="shared" si="23"/>
        <v>836662</v>
      </c>
      <c r="AS14" s="132">
        <f t="shared" si="24"/>
        <v>2468376</v>
      </c>
      <c r="AT14" s="132">
        <f t="shared" si="25"/>
        <v>6266485</v>
      </c>
      <c r="AU14" s="257">
        <f t="shared" si="26"/>
        <v>40519126</v>
      </c>
      <c r="AV14" s="173">
        <v>3225035</v>
      </c>
      <c r="AW14" s="132">
        <v>2546742</v>
      </c>
      <c r="AX14" s="132">
        <v>0</v>
      </c>
      <c r="AY14" s="132">
        <v>1303994</v>
      </c>
      <c r="AZ14" s="132">
        <v>4477226</v>
      </c>
      <c r="BA14" s="132">
        <v>3135158</v>
      </c>
      <c r="BB14" s="133">
        <v>4509494</v>
      </c>
      <c r="BC14" s="132">
        <v>4395747</v>
      </c>
      <c r="BD14" s="132">
        <v>7354207</v>
      </c>
      <c r="BE14" s="132">
        <v>836662</v>
      </c>
      <c r="BF14" s="132">
        <v>2468376</v>
      </c>
      <c r="BG14" s="132">
        <v>6266485</v>
      </c>
      <c r="BH14" s="257">
        <f t="shared" si="8"/>
        <v>40519126</v>
      </c>
      <c r="BI14" s="275">
        <f t="shared" si="27"/>
        <v>8565470</v>
      </c>
      <c r="BJ14" s="276">
        <f t="shared" si="28"/>
        <v>0</v>
      </c>
      <c r="BK14" s="277">
        <f t="shared" si="29"/>
        <v>0</v>
      </c>
    </row>
    <row r="15" spans="1:63" ht="21" customHeight="1">
      <c r="A15" s="136" t="s">
        <v>131</v>
      </c>
      <c r="B15" s="130" t="s">
        <v>134</v>
      </c>
      <c r="C15" s="130" t="s">
        <v>137</v>
      </c>
      <c r="D15" s="130" t="s">
        <v>135</v>
      </c>
      <c r="E15" s="130" t="s">
        <v>144</v>
      </c>
      <c r="F15" s="130" t="s">
        <v>138</v>
      </c>
      <c r="G15" s="131" t="s">
        <v>145</v>
      </c>
      <c r="H15" s="173">
        <f t="shared" si="13"/>
        <v>67619064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257">
        <f t="shared" si="1"/>
        <v>67619064</v>
      </c>
      <c r="O15" s="173">
        <v>50976563</v>
      </c>
      <c r="P15" s="132">
        <v>0</v>
      </c>
      <c r="Q15" s="132">
        <v>16642501</v>
      </c>
      <c r="R15" s="132">
        <v>0</v>
      </c>
      <c r="S15" s="132">
        <v>0</v>
      </c>
      <c r="T15" s="132">
        <v>0</v>
      </c>
      <c r="U15" s="257">
        <f t="shared" si="3"/>
        <v>67619064</v>
      </c>
      <c r="V15" s="173">
        <v>5394609</v>
      </c>
      <c r="W15" s="132">
        <v>5507582</v>
      </c>
      <c r="X15" s="132">
        <v>5394610</v>
      </c>
      <c r="Y15" s="132">
        <v>6557569</v>
      </c>
      <c r="Z15" s="132">
        <v>4639593</v>
      </c>
      <c r="AA15" s="132">
        <v>6468020</v>
      </c>
      <c r="AB15" s="133">
        <v>5651826</v>
      </c>
      <c r="AC15" s="132">
        <v>5475786</v>
      </c>
      <c r="AD15" s="132">
        <v>5319048</v>
      </c>
      <c r="AE15" s="132">
        <v>5255737</v>
      </c>
      <c r="AF15" s="132">
        <v>5643374</v>
      </c>
      <c r="AG15" s="132">
        <v>6278231</v>
      </c>
      <c r="AH15" s="257">
        <f t="shared" si="5"/>
        <v>67585985</v>
      </c>
      <c r="AI15" s="173">
        <f t="shared" si="14"/>
        <v>5394609</v>
      </c>
      <c r="AJ15" s="132">
        <f t="shared" si="15"/>
        <v>5507582</v>
      </c>
      <c r="AK15" s="132">
        <f t="shared" si="16"/>
        <v>5394610</v>
      </c>
      <c r="AL15" s="132">
        <f t="shared" si="17"/>
        <v>6557569</v>
      </c>
      <c r="AM15" s="132">
        <f t="shared" si="18"/>
        <v>4639593</v>
      </c>
      <c r="AN15" s="132">
        <f t="shared" si="19"/>
        <v>6468020</v>
      </c>
      <c r="AO15" s="133">
        <f t="shared" si="20"/>
        <v>5651826</v>
      </c>
      <c r="AP15" s="132">
        <f t="shared" si="21"/>
        <v>5475786</v>
      </c>
      <c r="AQ15" s="132">
        <f t="shared" si="22"/>
        <v>5319048</v>
      </c>
      <c r="AR15" s="132">
        <f t="shared" si="23"/>
        <v>5255737</v>
      </c>
      <c r="AS15" s="132">
        <f t="shared" si="24"/>
        <v>5643374</v>
      </c>
      <c r="AT15" s="132">
        <f t="shared" si="25"/>
        <v>6278231</v>
      </c>
      <c r="AU15" s="257">
        <f t="shared" si="26"/>
        <v>67585985</v>
      </c>
      <c r="AV15" s="173">
        <v>5394609</v>
      </c>
      <c r="AW15" s="132">
        <v>5507582</v>
      </c>
      <c r="AX15" s="132">
        <v>5394610</v>
      </c>
      <c r="AY15" s="132">
        <v>6557569</v>
      </c>
      <c r="AZ15" s="132">
        <v>4639593</v>
      </c>
      <c r="BA15" s="132">
        <v>6468020</v>
      </c>
      <c r="BB15" s="133">
        <v>5651826</v>
      </c>
      <c r="BC15" s="132">
        <v>5475786</v>
      </c>
      <c r="BD15" s="132">
        <v>5319048</v>
      </c>
      <c r="BE15" s="132">
        <v>5255737</v>
      </c>
      <c r="BF15" s="132">
        <v>5643374</v>
      </c>
      <c r="BG15" s="132">
        <v>6278231</v>
      </c>
      <c r="BH15" s="257">
        <f t="shared" si="8"/>
        <v>67585985</v>
      </c>
      <c r="BI15" s="275">
        <f t="shared" si="27"/>
        <v>33079</v>
      </c>
      <c r="BJ15" s="276">
        <f t="shared" si="28"/>
        <v>0</v>
      </c>
      <c r="BK15" s="277">
        <f t="shared" si="29"/>
        <v>0</v>
      </c>
    </row>
    <row r="16" spans="1:63" ht="21" customHeight="1">
      <c r="A16" s="136" t="s">
        <v>131</v>
      </c>
      <c r="B16" s="130" t="s">
        <v>134</v>
      </c>
      <c r="C16" s="130" t="s">
        <v>137</v>
      </c>
      <c r="D16" s="130" t="s">
        <v>135</v>
      </c>
      <c r="E16" s="130" t="s">
        <v>146</v>
      </c>
      <c r="F16" s="130" t="s">
        <v>138</v>
      </c>
      <c r="G16" s="131" t="s">
        <v>147</v>
      </c>
      <c r="H16" s="173">
        <f t="shared" si="13"/>
        <v>1741233283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257">
        <f t="shared" si="1"/>
        <v>1741233283</v>
      </c>
      <c r="O16" s="173">
        <v>1361522813</v>
      </c>
      <c r="P16" s="132">
        <v>0</v>
      </c>
      <c r="Q16" s="132">
        <v>379710470</v>
      </c>
      <c r="R16" s="132">
        <v>0</v>
      </c>
      <c r="S16" s="132">
        <v>0</v>
      </c>
      <c r="T16" s="132">
        <v>0</v>
      </c>
      <c r="U16" s="257">
        <f t="shared" si="3"/>
        <v>1741233283</v>
      </c>
      <c r="V16" s="173">
        <v>32510700</v>
      </c>
      <c r="W16" s="132">
        <v>37218580</v>
      </c>
      <c r="X16" s="132">
        <v>33529457</v>
      </c>
      <c r="Y16" s="132">
        <v>56241031</v>
      </c>
      <c r="Z16" s="132">
        <v>50968020</v>
      </c>
      <c r="AA16" s="132">
        <v>490441955</v>
      </c>
      <c r="AB16" s="133">
        <v>46201957</v>
      </c>
      <c r="AC16" s="132">
        <v>28360204</v>
      </c>
      <c r="AD16" s="132">
        <v>44321444</v>
      </c>
      <c r="AE16" s="132">
        <v>35304165</v>
      </c>
      <c r="AF16" s="132">
        <v>42959624</v>
      </c>
      <c r="AG16" s="132">
        <v>772884891</v>
      </c>
      <c r="AH16" s="257">
        <f t="shared" si="5"/>
        <v>1670942028</v>
      </c>
      <c r="AI16" s="173">
        <f t="shared" si="14"/>
        <v>32122890</v>
      </c>
      <c r="AJ16" s="132">
        <f t="shared" si="15"/>
        <v>36476530</v>
      </c>
      <c r="AK16" s="132">
        <f t="shared" si="16"/>
        <v>33762357</v>
      </c>
      <c r="AL16" s="132">
        <f t="shared" si="17"/>
        <v>57137990</v>
      </c>
      <c r="AM16" s="132">
        <f t="shared" si="18"/>
        <v>50954145</v>
      </c>
      <c r="AN16" s="132">
        <f t="shared" si="19"/>
        <v>490401243</v>
      </c>
      <c r="AO16" s="133">
        <f t="shared" si="20"/>
        <v>45494146</v>
      </c>
      <c r="AP16" s="132">
        <f t="shared" si="21"/>
        <v>28749638</v>
      </c>
      <c r="AQ16" s="132">
        <f t="shared" si="22"/>
        <v>44078438</v>
      </c>
      <c r="AR16" s="132">
        <f t="shared" si="23"/>
        <v>35893305</v>
      </c>
      <c r="AS16" s="132">
        <f t="shared" si="24"/>
        <v>38051473</v>
      </c>
      <c r="AT16" s="132">
        <f t="shared" si="25"/>
        <v>777819873</v>
      </c>
      <c r="AU16" s="257">
        <f t="shared" si="26"/>
        <v>1670942028</v>
      </c>
      <c r="AV16" s="173">
        <v>32122890</v>
      </c>
      <c r="AW16" s="132">
        <v>36476530</v>
      </c>
      <c r="AX16" s="132">
        <v>33762357</v>
      </c>
      <c r="AY16" s="132">
        <v>57137990</v>
      </c>
      <c r="AZ16" s="132">
        <v>50954145</v>
      </c>
      <c r="BA16" s="132">
        <v>490401243</v>
      </c>
      <c r="BB16" s="133">
        <v>45494146</v>
      </c>
      <c r="BC16" s="132">
        <v>28749638</v>
      </c>
      <c r="BD16" s="132">
        <v>44078438</v>
      </c>
      <c r="BE16" s="132">
        <v>35893305</v>
      </c>
      <c r="BF16" s="132">
        <v>38051473</v>
      </c>
      <c r="BG16" s="132">
        <v>777819873</v>
      </c>
      <c r="BH16" s="257">
        <f t="shared" si="8"/>
        <v>1670942028</v>
      </c>
      <c r="BI16" s="275">
        <f t="shared" si="27"/>
        <v>70291255</v>
      </c>
      <c r="BJ16" s="276">
        <f t="shared" si="28"/>
        <v>0</v>
      </c>
      <c r="BK16" s="277">
        <f t="shared" si="29"/>
        <v>0</v>
      </c>
    </row>
    <row r="17" spans="1:63" ht="21" customHeight="1">
      <c r="A17" s="136" t="s">
        <v>131</v>
      </c>
      <c r="B17" s="130" t="s">
        <v>134</v>
      </c>
      <c r="C17" s="130" t="s">
        <v>137</v>
      </c>
      <c r="D17" s="130" t="s">
        <v>140</v>
      </c>
      <c r="E17" s="130" t="s">
        <v>148</v>
      </c>
      <c r="F17" s="130" t="s">
        <v>138</v>
      </c>
      <c r="G17" s="131" t="s">
        <v>149</v>
      </c>
      <c r="H17" s="173">
        <f t="shared" si="13"/>
        <v>542150000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257">
        <f t="shared" si="1"/>
        <v>542150000</v>
      </c>
      <c r="O17" s="173">
        <v>542775000</v>
      </c>
      <c r="P17" s="132">
        <v>-625000</v>
      </c>
      <c r="Q17" s="132">
        <v>0</v>
      </c>
      <c r="R17" s="132">
        <v>0</v>
      </c>
      <c r="S17" s="132">
        <v>0</v>
      </c>
      <c r="T17" s="132">
        <v>0</v>
      </c>
      <c r="U17" s="257">
        <f t="shared" si="3"/>
        <v>542150000</v>
      </c>
      <c r="V17" s="173">
        <v>127820093</v>
      </c>
      <c r="W17" s="132">
        <v>18871965</v>
      </c>
      <c r="X17" s="132">
        <v>-1581026</v>
      </c>
      <c r="Y17" s="132">
        <v>0</v>
      </c>
      <c r="Z17" s="132">
        <v>1203600</v>
      </c>
      <c r="AA17" s="132">
        <v>-30090</v>
      </c>
      <c r="AB17" s="133">
        <v>7221600</v>
      </c>
      <c r="AC17" s="132">
        <v>2708100</v>
      </c>
      <c r="AD17" s="132">
        <v>5015000</v>
      </c>
      <c r="AE17" s="132">
        <v>0</v>
      </c>
      <c r="AF17" s="132">
        <v>-7257003</v>
      </c>
      <c r="AG17" s="132">
        <v>378534821</v>
      </c>
      <c r="AH17" s="257">
        <f t="shared" si="5"/>
        <v>532507060</v>
      </c>
      <c r="AI17" s="173">
        <f t="shared" si="14"/>
        <v>1346473</v>
      </c>
      <c r="AJ17" s="132">
        <f t="shared" si="15"/>
        <v>15126042</v>
      </c>
      <c r="AK17" s="132">
        <f t="shared" si="16"/>
        <v>7291310</v>
      </c>
      <c r="AL17" s="132">
        <f t="shared" si="17"/>
        <v>22147022</v>
      </c>
      <c r="AM17" s="132">
        <f t="shared" si="18"/>
        <v>14620119</v>
      </c>
      <c r="AN17" s="132">
        <f t="shared" si="19"/>
        <v>6055050</v>
      </c>
      <c r="AO17" s="133">
        <f t="shared" si="20"/>
        <v>11574355</v>
      </c>
      <c r="AP17" s="132">
        <f t="shared" si="21"/>
        <v>12586614</v>
      </c>
      <c r="AQ17" s="132">
        <f t="shared" si="22"/>
        <v>17339687</v>
      </c>
      <c r="AR17" s="132">
        <f t="shared" si="23"/>
        <v>10053401</v>
      </c>
      <c r="AS17" s="132">
        <f t="shared" si="24"/>
        <v>7377820</v>
      </c>
      <c r="AT17" s="132">
        <f t="shared" si="25"/>
        <v>406989167</v>
      </c>
      <c r="AU17" s="257">
        <f t="shared" si="26"/>
        <v>532507060</v>
      </c>
      <c r="AV17" s="173">
        <v>1346473</v>
      </c>
      <c r="AW17" s="132">
        <v>15126042</v>
      </c>
      <c r="AX17" s="132">
        <v>7291310</v>
      </c>
      <c r="AY17" s="132">
        <v>22147022</v>
      </c>
      <c r="AZ17" s="132">
        <v>14620119</v>
      </c>
      <c r="BA17" s="132">
        <v>6055050</v>
      </c>
      <c r="BB17" s="133">
        <v>11574355</v>
      </c>
      <c r="BC17" s="132">
        <v>12586614</v>
      </c>
      <c r="BD17" s="132">
        <v>17339687</v>
      </c>
      <c r="BE17" s="132">
        <v>10053401</v>
      </c>
      <c r="BF17" s="132">
        <v>7377820</v>
      </c>
      <c r="BG17" s="132">
        <v>18811406</v>
      </c>
      <c r="BH17" s="257">
        <f t="shared" si="8"/>
        <v>144329299</v>
      </c>
      <c r="BI17" s="275">
        <f t="shared" si="27"/>
        <v>9642940</v>
      </c>
      <c r="BJ17" s="276">
        <f t="shared" si="28"/>
        <v>0</v>
      </c>
      <c r="BK17" s="277">
        <f t="shared" si="29"/>
        <v>388177761</v>
      </c>
    </row>
    <row r="18" spans="1:63" ht="21" customHeight="1">
      <c r="A18" s="136" t="s">
        <v>131</v>
      </c>
      <c r="B18" s="130" t="s">
        <v>134</v>
      </c>
      <c r="C18" s="130" t="s">
        <v>137</v>
      </c>
      <c r="D18" s="130" t="s">
        <v>142</v>
      </c>
      <c r="E18" s="130" t="s">
        <v>132</v>
      </c>
      <c r="F18" s="130" t="s">
        <v>138</v>
      </c>
      <c r="G18" s="131" t="s">
        <v>150</v>
      </c>
      <c r="H18" s="173">
        <f t="shared" si="13"/>
        <v>723775826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257">
        <f t="shared" si="1"/>
        <v>723775826</v>
      </c>
      <c r="O18" s="173">
        <v>500453634</v>
      </c>
      <c r="P18" s="132">
        <v>0</v>
      </c>
      <c r="Q18" s="132">
        <v>223322192</v>
      </c>
      <c r="R18" s="132">
        <v>0</v>
      </c>
      <c r="S18" s="132">
        <v>0</v>
      </c>
      <c r="T18" s="132">
        <v>0</v>
      </c>
      <c r="U18" s="257">
        <f t="shared" si="3"/>
        <v>723775826</v>
      </c>
      <c r="V18" s="173">
        <v>7255912</v>
      </c>
      <c r="W18" s="132">
        <v>55407658</v>
      </c>
      <c r="X18" s="132">
        <v>60197198</v>
      </c>
      <c r="Y18" s="132">
        <v>57633629</v>
      </c>
      <c r="Z18" s="132">
        <v>65697168</v>
      </c>
      <c r="AA18" s="132">
        <v>61626442</v>
      </c>
      <c r="AB18" s="133">
        <v>76635644</v>
      </c>
      <c r="AC18" s="132">
        <v>59649680</v>
      </c>
      <c r="AD18" s="132">
        <v>58114733</v>
      </c>
      <c r="AE18" s="132">
        <v>59861958</v>
      </c>
      <c r="AF18" s="132">
        <v>58904379</v>
      </c>
      <c r="AG18" s="132">
        <v>70286500</v>
      </c>
      <c r="AH18" s="257">
        <f t="shared" si="5"/>
        <v>691270901</v>
      </c>
      <c r="AI18" s="173">
        <f t="shared" si="14"/>
        <v>6870187</v>
      </c>
      <c r="AJ18" s="132">
        <f t="shared" si="15"/>
        <v>54727824</v>
      </c>
      <c r="AK18" s="132">
        <f t="shared" si="16"/>
        <v>49397308</v>
      </c>
      <c r="AL18" s="132">
        <f t="shared" si="17"/>
        <v>67764287</v>
      </c>
      <c r="AM18" s="132">
        <f t="shared" si="18"/>
        <v>65486630</v>
      </c>
      <c r="AN18" s="132">
        <f t="shared" si="19"/>
        <v>60729974</v>
      </c>
      <c r="AO18" s="133">
        <f t="shared" si="20"/>
        <v>74471133</v>
      </c>
      <c r="AP18" s="132">
        <f t="shared" si="21"/>
        <v>62292134</v>
      </c>
      <c r="AQ18" s="132">
        <f t="shared" si="22"/>
        <v>57843671</v>
      </c>
      <c r="AR18" s="132">
        <f t="shared" si="23"/>
        <v>61375404</v>
      </c>
      <c r="AS18" s="132">
        <f t="shared" si="24"/>
        <v>58976406</v>
      </c>
      <c r="AT18" s="132">
        <f t="shared" si="25"/>
        <v>71335943</v>
      </c>
      <c r="AU18" s="257">
        <f t="shared" si="26"/>
        <v>691270901</v>
      </c>
      <c r="AV18" s="173">
        <v>6870187</v>
      </c>
      <c r="AW18" s="132">
        <v>54727824</v>
      </c>
      <c r="AX18" s="132">
        <v>49397308</v>
      </c>
      <c r="AY18" s="132">
        <v>67764287</v>
      </c>
      <c r="AZ18" s="132">
        <v>65486630</v>
      </c>
      <c r="BA18" s="132">
        <v>60729974</v>
      </c>
      <c r="BB18" s="133">
        <v>74471133</v>
      </c>
      <c r="BC18" s="132">
        <v>62292134</v>
      </c>
      <c r="BD18" s="132">
        <v>57843671</v>
      </c>
      <c r="BE18" s="132">
        <v>61375404</v>
      </c>
      <c r="BF18" s="132">
        <v>58976406</v>
      </c>
      <c r="BG18" s="132">
        <v>71335943</v>
      </c>
      <c r="BH18" s="257">
        <f t="shared" si="8"/>
        <v>691270901</v>
      </c>
      <c r="BI18" s="275">
        <f t="shared" si="27"/>
        <v>32504925</v>
      </c>
      <c r="BJ18" s="276">
        <f t="shared" si="28"/>
        <v>0</v>
      </c>
      <c r="BK18" s="277">
        <f t="shared" si="29"/>
        <v>0</v>
      </c>
    </row>
    <row r="19" spans="1:63" ht="21" customHeight="1">
      <c r="A19" s="136" t="s">
        <v>131</v>
      </c>
      <c r="B19" s="130" t="s">
        <v>134</v>
      </c>
      <c r="C19" s="130" t="s">
        <v>137</v>
      </c>
      <c r="D19" s="130" t="s">
        <v>144</v>
      </c>
      <c r="E19" s="130" t="s">
        <v>132</v>
      </c>
      <c r="F19" s="130" t="s">
        <v>138</v>
      </c>
      <c r="G19" s="131" t="s">
        <v>151</v>
      </c>
      <c r="H19" s="173">
        <f t="shared" si="13"/>
        <v>1383008554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257">
        <f t="shared" si="1"/>
        <v>1383008554</v>
      </c>
      <c r="O19" s="173">
        <v>1113912928</v>
      </c>
      <c r="P19" s="132">
        <v>0</v>
      </c>
      <c r="Q19" s="132">
        <v>269095626</v>
      </c>
      <c r="R19" s="132">
        <v>0</v>
      </c>
      <c r="S19" s="132">
        <v>0</v>
      </c>
      <c r="T19" s="132">
        <v>0</v>
      </c>
      <c r="U19" s="257">
        <f t="shared" si="3"/>
        <v>1383008554</v>
      </c>
      <c r="V19" s="173">
        <v>11092116</v>
      </c>
      <c r="W19" s="132">
        <v>136273166</v>
      </c>
      <c r="X19" s="132">
        <v>104115345</v>
      </c>
      <c r="Y19" s="132">
        <v>101296278</v>
      </c>
      <c r="Z19" s="132">
        <v>113326751</v>
      </c>
      <c r="AA19" s="132">
        <v>104573603</v>
      </c>
      <c r="AB19" s="133">
        <v>168822909</v>
      </c>
      <c r="AC19" s="132">
        <v>100944902</v>
      </c>
      <c r="AD19" s="132">
        <v>99315029</v>
      </c>
      <c r="AE19" s="132">
        <v>106433112</v>
      </c>
      <c r="AF19" s="132">
        <v>102392620</v>
      </c>
      <c r="AG19" s="132">
        <v>212323722</v>
      </c>
      <c r="AH19" s="257">
        <f t="shared" si="5"/>
        <v>1360909553</v>
      </c>
      <c r="AI19" s="173">
        <f t="shared" si="14"/>
        <v>10929898</v>
      </c>
      <c r="AJ19" s="132">
        <f t="shared" si="15"/>
        <v>135007628</v>
      </c>
      <c r="AK19" s="132">
        <f t="shared" si="16"/>
        <v>103362771</v>
      </c>
      <c r="AL19" s="132">
        <f t="shared" si="17"/>
        <v>100802746</v>
      </c>
      <c r="AM19" s="132">
        <f t="shared" si="18"/>
        <v>112804590</v>
      </c>
      <c r="AN19" s="132">
        <f t="shared" si="19"/>
        <v>105656701</v>
      </c>
      <c r="AO19" s="133">
        <f t="shared" si="20"/>
        <v>164799658</v>
      </c>
      <c r="AP19" s="132">
        <f t="shared" si="21"/>
        <v>103741927</v>
      </c>
      <c r="AQ19" s="132">
        <f t="shared" si="22"/>
        <v>99795784</v>
      </c>
      <c r="AR19" s="132">
        <f t="shared" si="23"/>
        <v>107011198</v>
      </c>
      <c r="AS19" s="132">
        <f t="shared" si="24"/>
        <v>102818576</v>
      </c>
      <c r="AT19" s="132">
        <f t="shared" si="25"/>
        <v>214178076</v>
      </c>
      <c r="AU19" s="257">
        <f t="shared" si="26"/>
        <v>1360909553</v>
      </c>
      <c r="AV19" s="173">
        <v>10929898</v>
      </c>
      <c r="AW19" s="132">
        <v>135007628</v>
      </c>
      <c r="AX19" s="132">
        <v>103362771</v>
      </c>
      <c r="AY19" s="132">
        <v>100802746</v>
      </c>
      <c r="AZ19" s="132">
        <v>112804590</v>
      </c>
      <c r="BA19" s="132">
        <v>105656701</v>
      </c>
      <c r="BB19" s="133">
        <v>164799658</v>
      </c>
      <c r="BC19" s="132">
        <v>103741927</v>
      </c>
      <c r="BD19" s="132">
        <v>99795784</v>
      </c>
      <c r="BE19" s="132">
        <v>107011198</v>
      </c>
      <c r="BF19" s="132">
        <v>102818576</v>
      </c>
      <c r="BG19" s="132">
        <v>214178076</v>
      </c>
      <c r="BH19" s="257">
        <f t="shared" si="8"/>
        <v>1360909553</v>
      </c>
      <c r="BI19" s="275">
        <f t="shared" si="27"/>
        <v>22099001</v>
      </c>
      <c r="BJ19" s="276">
        <f t="shared" si="28"/>
        <v>0</v>
      </c>
      <c r="BK19" s="277">
        <f t="shared" si="29"/>
        <v>0</v>
      </c>
    </row>
    <row r="20" spans="1:63" ht="21" customHeight="1">
      <c r="A20" s="136" t="s">
        <v>131</v>
      </c>
      <c r="B20" s="130" t="s">
        <v>134</v>
      </c>
      <c r="C20" s="130" t="s">
        <v>137</v>
      </c>
      <c r="D20" s="130" t="s">
        <v>152</v>
      </c>
      <c r="E20" s="130" t="s">
        <v>132</v>
      </c>
      <c r="F20" s="130" t="s">
        <v>138</v>
      </c>
      <c r="G20" s="131" t="s">
        <v>153</v>
      </c>
      <c r="H20" s="173">
        <f t="shared" si="13"/>
        <v>625000</v>
      </c>
      <c r="I20" s="132">
        <v>0</v>
      </c>
      <c r="J20" s="132"/>
      <c r="K20" s="132">
        <v>0</v>
      </c>
      <c r="L20" s="132">
        <v>0</v>
      </c>
      <c r="M20" s="132">
        <v>0</v>
      </c>
      <c r="N20" s="257">
        <f t="shared" si="1"/>
        <v>625000</v>
      </c>
      <c r="O20" s="173">
        <v>0</v>
      </c>
      <c r="P20" s="132">
        <v>0</v>
      </c>
      <c r="Q20" s="132">
        <v>625000</v>
      </c>
      <c r="R20" s="132">
        <v>0</v>
      </c>
      <c r="S20" s="132">
        <v>0</v>
      </c>
      <c r="T20" s="132">
        <v>0</v>
      </c>
      <c r="U20" s="257">
        <f t="shared" si="3"/>
        <v>625000</v>
      </c>
      <c r="V20" s="173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3">
        <v>0</v>
      </c>
      <c r="AC20" s="132">
        <v>0</v>
      </c>
      <c r="AD20" s="132">
        <v>0</v>
      </c>
      <c r="AE20" s="132">
        <v>625000</v>
      </c>
      <c r="AF20" s="132">
        <v>0</v>
      </c>
      <c r="AG20" s="132">
        <v>0</v>
      </c>
      <c r="AH20" s="257">
        <f t="shared" si="5"/>
        <v>625000</v>
      </c>
      <c r="AI20" s="173">
        <f t="shared" si="14"/>
        <v>0</v>
      </c>
      <c r="AJ20" s="132">
        <f t="shared" si="15"/>
        <v>0</v>
      </c>
      <c r="AK20" s="132">
        <f t="shared" si="16"/>
        <v>0</v>
      </c>
      <c r="AL20" s="132">
        <f t="shared" si="17"/>
        <v>0</v>
      </c>
      <c r="AM20" s="132">
        <f t="shared" si="18"/>
        <v>0</v>
      </c>
      <c r="AN20" s="132">
        <f t="shared" si="19"/>
        <v>0</v>
      </c>
      <c r="AO20" s="133">
        <f t="shared" si="20"/>
        <v>0</v>
      </c>
      <c r="AP20" s="132">
        <f t="shared" si="21"/>
        <v>0</v>
      </c>
      <c r="AQ20" s="132">
        <f t="shared" si="22"/>
        <v>0</v>
      </c>
      <c r="AR20" s="132">
        <f t="shared" si="23"/>
        <v>625000</v>
      </c>
      <c r="AS20" s="132">
        <f t="shared" si="24"/>
        <v>0</v>
      </c>
      <c r="AT20" s="132">
        <f t="shared" si="25"/>
        <v>0</v>
      </c>
      <c r="AU20" s="257">
        <f t="shared" si="26"/>
        <v>625000</v>
      </c>
      <c r="AV20" s="173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3">
        <v>0</v>
      </c>
      <c r="BC20" s="132">
        <v>0</v>
      </c>
      <c r="BD20" s="132">
        <v>0</v>
      </c>
      <c r="BE20" s="132">
        <v>625000</v>
      </c>
      <c r="BF20" s="132">
        <v>0</v>
      </c>
      <c r="BG20" s="132">
        <v>0</v>
      </c>
      <c r="BH20" s="257">
        <f t="shared" si="8"/>
        <v>625000</v>
      </c>
      <c r="BI20" s="275">
        <f t="shared" si="27"/>
        <v>0</v>
      </c>
      <c r="BJ20" s="276">
        <f t="shared" si="28"/>
        <v>0</v>
      </c>
      <c r="BK20" s="277">
        <f t="shared" si="29"/>
        <v>0</v>
      </c>
    </row>
    <row r="21" spans="1:63" s="102" customFormat="1" ht="21" customHeight="1">
      <c r="A21" s="182" t="s">
        <v>131</v>
      </c>
      <c r="B21" s="183" t="s">
        <v>134</v>
      </c>
      <c r="C21" s="184" t="s">
        <v>140</v>
      </c>
      <c r="D21" s="183" t="s">
        <v>132</v>
      </c>
      <c r="E21" s="183" t="s">
        <v>132</v>
      </c>
      <c r="F21" s="183"/>
      <c r="G21" s="185" t="s">
        <v>154</v>
      </c>
      <c r="H21" s="186">
        <f aca="true" t="shared" si="30" ref="H21:M21">SUM(H22:H24)</f>
        <v>4429256676</v>
      </c>
      <c r="I21" s="187">
        <f t="shared" si="30"/>
        <v>0</v>
      </c>
      <c r="J21" s="187">
        <f t="shared" si="30"/>
        <v>0</v>
      </c>
      <c r="K21" s="187">
        <f t="shared" si="30"/>
        <v>0</v>
      </c>
      <c r="L21" s="187">
        <f t="shared" si="30"/>
        <v>0</v>
      </c>
      <c r="M21" s="187">
        <f t="shared" si="30"/>
        <v>0</v>
      </c>
      <c r="N21" s="188">
        <f t="shared" si="1"/>
        <v>4429256676</v>
      </c>
      <c r="O21" s="186">
        <f aca="true" t="shared" si="31" ref="O21:T21">SUM(O22:O24)</f>
        <v>3398154637</v>
      </c>
      <c r="P21" s="187">
        <f t="shared" si="31"/>
        <v>0</v>
      </c>
      <c r="Q21" s="187">
        <f t="shared" si="31"/>
        <v>1302954410</v>
      </c>
      <c r="R21" s="187">
        <f t="shared" si="31"/>
        <v>0</v>
      </c>
      <c r="S21" s="187">
        <f t="shared" si="31"/>
        <v>-271852371</v>
      </c>
      <c r="T21" s="187">
        <f t="shared" si="31"/>
        <v>0</v>
      </c>
      <c r="U21" s="188">
        <f aca="true" t="shared" si="32" ref="U21:U32">SUM(O21:T21)</f>
        <v>4429256676</v>
      </c>
      <c r="V21" s="186">
        <f aca="true" t="shared" si="33" ref="V21:AG21">SUM(V22:V24)</f>
        <v>306258446</v>
      </c>
      <c r="W21" s="187">
        <f t="shared" si="33"/>
        <v>776123459</v>
      </c>
      <c r="X21" s="187">
        <f t="shared" si="33"/>
        <v>517656374</v>
      </c>
      <c r="Y21" s="187">
        <f t="shared" si="33"/>
        <v>274352094</v>
      </c>
      <c r="Z21" s="187">
        <f t="shared" si="33"/>
        <v>271718940</v>
      </c>
      <c r="AA21" s="187">
        <f t="shared" si="33"/>
        <v>208261544</v>
      </c>
      <c r="AB21" s="189">
        <f t="shared" si="33"/>
        <v>308754370</v>
      </c>
      <c r="AC21" s="187">
        <f t="shared" si="33"/>
        <v>269635131</v>
      </c>
      <c r="AD21" s="187">
        <f t="shared" si="33"/>
        <v>252738193</v>
      </c>
      <c r="AE21" s="187">
        <f t="shared" si="33"/>
        <v>394217753</v>
      </c>
      <c r="AF21" s="187">
        <f t="shared" si="33"/>
        <v>156060495</v>
      </c>
      <c r="AG21" s="187">
        <f t="shared" si="33"/>
        <v>482757324</v>
      </c>
      <c r="AH21" s="188">
        <f aca="true" t="shared" si="34" ref="AH21:AH32">SUM(V21:AG21)</f>
        <v>4218534123</v>
      </c>
      <c r="AI21" s="186">
        <f aca="true" t="shared" si="35" ref="AI21:AT21">SUM(AI22:AI24)</f>
        <v>88359401</v>
      </c>
      <c r="AJ21" s="187">
        <f t="shared" si="35"/>
        <v>247208862</v>
      </c>
      <c r="AK21" s="187">
        <f t="shared" si="35"/>
        <v>223953410</v>
      </c>
      <c r="AL21" s="187">
        <f t="shared" si="35"/>
        <v>681621771</v>
      </c>
      <c r="AM21" s="187">
        <f t="shared" si="35"/>
        <v>299315405</v>
      </c>
      <c r="AN21" s="187">
        <f t="shared" si="35"/>
        <v>243387549</v>
      </c>
      <c r="AO21" s="189">
        <f t="shared" si="35"/>
        <v>332509594</v>
      </c>
      <c r="AP21" s="187">
        <f t="shared" si="35"/>
        <v>309005433</v>
      </c>
      <c r="AQ21" s="187">
        <f t="shared" si="35"/>
        <v>324278466</v>
      </c>
      <c r="AR21" s="187">
        <f t="shared" si="35"/>
        <v>285205962</v>
      </c>
      <c r="AS21" s="187">
        <f t="shared" si="35"/>
        <v>198822478</v>
      </c>
      <c r="AT21" s="187">
        <f t="shared" si="35"/>
        <v>984865792</v>
      </c>
      <c r="AU21" s="188">
        <f>SUM(AI21:AT21)</f>
        <v>4218534123</v>
      </c>
      <c r="AV21" s="186">
        <f aca="true" t="shared" si="36" ref="AV21:BG21">SUM(AV22:AV24)</f>
        <v>88359401</v>
      </c>
      <c r="AW21" s="187">
        <f t="shared" si="36"/>
        <v>247208862</v>
      </c>
      <c r="AX21" s="187">
        <f t="shared" si="36"/>
        <v>223953410</v>
      </c>
      <c r="AY21" s="187">
        <f t="shared" si="36"/>
        <v>681621771</v>
      </c>
      <c r="AZ21" s="187">
        <f t="shared" si="36"/>
        <v>299315405</v>
      </c>
      <c r="BA21" s="187">
        <f t="shared" si="36"/>
        <v>243387549</v>
      </c>
      <c r="BB21" s="189">
        <f t="shared" si="36"/>
        <v>332509594</v>
      </c>
      <c r="BC21" s="187">
        <f t="shared" si="36"/>
        <v>309005433</v>
      </c>
      <c r="BD21" s="187">
        <f t="shared" si="36"/>
        <v>324278466</v>
      </c>
      <c r="BE21" s="187">
        <f t="shared" si="36"/>
        <v>285205962</v>
      </c>
      <c r="BF21" s="187">
        <f t="shared" si="36"/>
        <v>198822478</v>
      </c>
      <c r="BG21" s="187">
        <f t="shared" si="36"/>
        <v>509721627</v>
      </c>
      <c r="BH21" s="188">
        <f aca="true" t="shared" si="37" ref="BH21:BH32">SUM(AV21:BG21)</f>
        <v>3743389958</v>
      </c>
      <c r="BI21" s="272">
        <f aca="true" t="shared" si="38" ref="BI21:BI35">U21-AH21</f>
        <v>210722553</v>
      </c>
      <c r="BJ21" s="273">
        <f aca="true" t="shared" si="39" ref="BJ21:BJ35">AH21-AU21</f>
        <v>0</v>
      </c>
      <c r="BK21" s="274">
        <f aca="true" t="shared" si="40" ref="BK21:BK35">AU21-BH21</f>
        <v>475144165</v>
      </c>
    </row>
    <row r="22" spans="1:63" ht="21" customHeight="1">
      <c r="A22" s="136" t="s">
        <v>131</v>
      </c>
      <c r="B22" s="130" t="s">
        <v>134</v>
      </c>
      <c r="C22" s="130" t="s">
        <v>155</v>
      </c>
      <c r="D22" s="130" t="s">
        <v>343</v>
      </c>
      <c r="E22" s="130" t="s">
        <v>132</v>
      </c>
      <c r="F22" s="130" t="s">
        <v>138</v>
      </c>
      <c r="G22" s="131" t="s">
        <v>156</v>
      </c>
      <c r="H22" s="173">
        <f>U22-SUM(I22:M22)</f>
        <v>734394367</v>
      </c>
      <c r="I22" s="132">
        <v>0</v>
      </c>
      <c r="J22" s="132">
        <v>0</v>
      </c>
      <c r="K22" s="132">
        <v>0</v>
      </c>
      <c r="L22" s="132"/>
      <c r="M22" s="132">
        <v>0</v>
      </c>
      <c r="N22" s="257">
        <f t="shared" si="1"/>
        <v>734394367</v>
      </c>
      <c r="O22" s="173">
        <v>550795775</v>
      </c>
      <c r="P22" s="132">
        <v>0</v>
      </c>
      <c r="Q22" s="132">
        <f>183598592+271852371</f>
        <v>455450963</v>
      </c>
      <c r="R22" s="132">
        <v>0</v>
      </c>
      <c r="S22" s="132">
        <v>-271852371</v>
      </c>
      <c r="T22" s="132">
        <v>0</v>
      </c>
      <c r="U22" s="257">
        <f t="shared" si="32"/>
        <v>734394367</v>
      </c>
      <c r="V22" s="173">
        <v>30465895</v>
      </c>
      <c r="W22" s="132">
        <v>68210837</v>
      </c>
      <c r="X22" s="132">
        <v>30735275</v>
      </c>
      <c r="Y22" s="132">
        <v>80837837</v>
      </c>
      <c r="Z22" s="132">
        <v>30559952</v>
      </c>
      <c r="AA22" s="132">
        <v>26148232</v>
      </c>
      <c r="AB22" s="133">
        <v>35330078</v>
      </c>
      <c r="AC22" s="132">
        <v>53791704</v>
      </c>
      <c r="AD22" s="132">
        <v>11037080</v>
      </c>
      <c r="AE22" s="132">
        <v>20883987</v>
      </c>
      <c r="AF22" s="132">
        <v>24296566</v>
      </c>
      <c r="AG22" s="132">
        <v>222963402</v>
      </c>
      <c r="AH22" s="257">
        <f t="shared" si="34"/>
        <v>635260845</v>
      </c>
      <c r="AI22" s="173">
        <f aca="true" t="shared" si="41" ref="AI22:AS24">AV22</f>
        <v>1253895</v>
      </c>
      <c r="AJ22" s="132">
        <f t="shared" si="41"/>
        <v>16623184</v>
      </c>
      <c r="AK22" s="132">
        <f t="shared" si="41"/>
        <v>31241553</v>
      </c>
      <c r="AL22" s="132">
        <f t="shared" si="41"/>
        <v>57126451</v>
      </c>
      <c r="AM22" s="132">
        <f t="shared" si="41"/>
        <v>46455903</v>
      </c>
      <c r="AN22" s="132">
        <f t="shared" si="41"/>
        <v>37971425</v>
      </c>
      <c r="AO22" s="133">
        <f t="shared" si="41"/>
        <v>42769873</v>
      </c>
      <c r="AP22" s="132">
        <f t="shared" si="41"/>
        <v>60232745</v>
      </c>
      <c r="AQ22" s="132">
        <f t="shared" si="41"/>
        <v>24100664</v>
      </c>
      <c r="AR22" s="132">
        <f t="shared" si="41"/>
        <v>30710295</v>
      </c>
      <c r="AS22" s="132">
        <f t="shared" si="41"/>
        <v>26017592</v>
      </c>
      <c r="AT22" s="132">
        <f>AH22-SUM(AI22:AS22)</f>
        <v>260757265</v>
      </c>
      <c r="AU22" s="257">
        <f>SUM(AI22:AT22)</f>
        <v>635260845</v>
      </c>
      <c r="AV22" s="173">
        <v>1253895</v>
      </c>
      <c r="AW22" s="132">
        <v>16623184</v>
      </c>
      <c r="AX22" s="132">
        <v>31241553</v>
      </c>
      <c r="AY22" s="132">
        <v>57126451</v>
      </c>
      <c r="AZ22" s="132">
        <v>46455903</v>
      </c>
      <c r="BA22" s="132">
        <v>37971425</v>
      </c>
      <c r="BB22" s="133">
        <v>42769873</v>
      </c>
      <c r="BC22" s="132">
        <v>60232745</v>
      </c>
      <c r="BD22" s="132">
        <v>24100664</v>
      </c>
      <c r="BE22" s="132">
        <v>30710295</v>
      </c>
      <c r="BF22" s="132">
        <v>26017592</v>
      </c>
      <c r="BG22" s="132">
        <v>148865388</v>
      </c>
      <c r="BH22" s="257">
        <f t="shared" si="37"/>
        <v>523368968</v>
      </c>
      <c r="BI22" s="275">
        <f t="shared" si="38"/>
        <v>99133522</v>
      </c>
      <c r="BJ22" s="276">
        <f t="shared" si="39"/>
        <v>0</v>
      </c>
      <c r="BK22" s="277">
        <f t="shared" si="40"/>
        <v>111891877</v>
      </c>
    </row>
    <row r="23" spans="1:63" ht="21" customHeight="1">
      <c r="A23" s="136" t="s">
        <v>131</v>
      </c>
      <c r="B23" s="130" t="s">
        <v>134</v>
      </c>
      <c r="C23" s="130" t="s">
        <v>155</v>
      </c>
      <c r="D23" s="130" t="s">
        <v>140</v>
      </c>
      <c r="E23" s="130" t="s">
        <v>132</v>
      </c>
      <c r="F23" s="130" t="s">
        <v>138</v>
      </c>
      <c r="G23" s="131" t="s">
        <v>157</v>
      </c>
      <c r="H23" s="173">
        <f>U23-SUM(I23:M23)</f>
        <v>3390013786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57">
        <f t="shared" si="1"/>
        <v>3390013786</v>
      </c>
      <c r="O23" s="173">
        <v>2542510339</v>
      </c>
      <c r="P23" s="132">
        <v>0</v>
      </c>
      <c r="Q23" s="132">
        <v>847503447</v>
      </c>
      <c r="R23" s="132">
        <v>0</v>
      </c>
      <c r="S23" s="132">
        <v>0</v>
      </c>
      <c r="T23" s="132">
        <v>0</v>
      </c>
      <c r="U23" s="257">
        <f t="shared" si="32"/>
        <v>3390013786</v>
      </c>
      <c r="V23" s="173">
        <v>266679310</v>
      </c>
      <c r="W23" s="132">
        <v>691800216</v>
      </c>
      <c r="X23" s="132">
        <v>480581603</v>
      </c>
      <c r="Y23" s="132">
        <v>163904140</v>
      </c>
      <c r="Z23" s="132">
        <v>237914684</v>
      </c>
      <c r="AA23" s="132">
        <v>182064096</v>
      </c>
      <c r="AB23" s="133">
        <v>273417271</v>
      </c>
      <c r="AC23" s="132">
        <v>208502960</v>
      </c>
      <c r="AD23" s="132">
        <v>241159994</v>
      </c>
      <c r="AE23" s="132">
        <v>179545575</v>
      </c>
      <c r="AF23" s="132">
        <v>131746227</v>
      </c>
      <c r="AG23" s="132">
        <f>265924399-3042307</f>
        <v>262882092</v>
      </c>
      <c r="AH23" s="257">
        <f t="shared" si="34"/>
        <v>3320198168</v>
      </c>
      <c r="AI23" s="173">
        <f t="shared" si="41"/>
        <v>81603065</v>
      </c>
      <c r="AJ23" s="132">
        <f t="shared" si="41"/>
        <v>214673572</v>
      </c>
      <c r="AK23" s="132">
        <f t="shared" si="41"/>
        <v>186362431</v>
      </c>
      <c r="AL23" s="132">
        <f t="shared" si="41"/>
        <v>594885203</v>
      </c>
      <c r="AM23" s="132">
        <f t="shared" si="41"/>
        <v>249615198</v>
      </c>
      <c r="AN23" s="132">
        <f t="shared" si="41"/>
        <v>205341031</v>
      </c>
      <c r="AO23" s="133">
        <f t="shared" si="41"/>
        <v>289732700</v>
      </c>
      <c r="AP23" s="132">
        <f t="shared" si="41"/>
        <v>241339930</v>
      </c>
      <c r="AQ23" s="132">
        <f t="shared" si="41"/>
        <v>299636683</v>
      </c>
      <c r="AR23" s="132">
        <f t="shared" si="41"/>
        <v>249261145</v>
      </c>
      <c r="AS23" s="132">
        <f t="shared" si="41"/>
        <v>172710763</v>
      </c>
      <c r="AT23" s="132">
        <f>AH23-SUM(AI23:AS23)</f>
        <v>535036447</v>
      </c>
      <c r="AU23" s="257">
        <f>SUM(AI23:AT23)</f>
        <v>3320198168</v>
      </c>
      <c r="AV23" s="173">
        <v>81603065</v>
      </c>
      <c r="AW23" s="132">
        <v>214673572</v>
      </c>
      <c r="AX23" s="132">
        <v>186362431</v>
      </c>
      <c r="AY23" s="132">
        <f>614885203-20000000</f>
        <v>594885203</v>
      </c>
      <c r="AZ23" s="132">
        <v>249615198</v>
      </c>
      <c r="BA23" s="133">
        <v>205341031</v>
      </c>
      <c r="BB23" s="133">
        <v>289732700</v>
      </c>
      <c r="BC23" s="132">
        <v>241339930</v>
      </c>
      <c r="BD23" s="132">
        <v>299636683</v>
      </c>
      <c r="BE23" s="132">
        <v>249261145</v>
      </c>
      <c r="BF23" s="132">
        <v>172710763</v>
      </c>
      <c r="BG23" s="132">
        <v>360348159</v>
      </c>
      <c r="BH23" s="257">
        <f t="shared" si="37"/>
        <v>3145509880</v>
      </c>
      <c r="BI23" s="275">
        <f t="shared" si="38"/>
        <v>69815618</v>
      </c>
      <c r="BJ23" s="276">
        <f t="shared" si="39"/>
        <v>0</v>
      </c>
      <c r="BK23" s="277">
        <f t="shared" si="40"/>
        <v>174688288</v>
      </c>
    </row>
    <row r="24" spans="1:63" ht="21" customHeight="1">
      <c r="A24" s="136" t="s">
        <v>131</v>
      </c>
      <c r="B24" s="130" t="s">
        <v>134</v>
      </c>
      <c r="C24" s="130" t="s">
        <v>155</v>
      </c>
      <c r="D24" s="130" t="s">
        <v>142</v>
      </c>
      <c r="E24" s="130" t="s">
        <v>132</v>
      </c>
      <c r="F24" s="130" t="s">
        <v>138</v>
      </c>
      <c r="G24" s="131" t="s">
        <v>158</v>
      </c>
      <c r="H24" s="173">
        <f>U24-SUM(I24:M24)</f>
        <v>304848523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257">
        <f>SUM(H24:M24)</f>
        <v>304848523</v>
      </c>
      <c r="O24" s="173">
        <v>304848523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257">
        <f>SUM(O24:T24)</f>
        <v>304848523</v>
      </c>
      <c r="V24" s="173">
        <v>9113241</v>
      </c>
      <c r="W24" s="132">
        <v>16112406</v>
      </c>
      <c r="X24" s="132">
        <v>6339496</v>
      </c>
      <c r="Y24" s="132">
        <v>29610117</v>
      </c>
      <c r="Z24" s="132">
        <v>3244304</v>
      </c>
      <c r="AA24" s="132">
        <v>49216</v>
      </c>
      <c r="AB24" s="133">
        <v>7021</v>
      </c>
      <c r="AC24" s="132">
        <v>7340467</v>
      </c>
      <c r="AD24" s="132">
        <v>541119</v>
      </c>
      <c r="AE24" s="132">
        <v>193788191</v>
      </c>
      <c r="AF24" s="132">
        <v>17702</v>
      </c>
      <c r="AG24" s="132">
        <v>-3088170</v>
      </c>
      <c r="AH24" s="257">
        <f>SUM(V24:AG24)</f>
        <v>263075110</v>
      </c>
      <c r="AI24" s="173">
        <f t="shared" si="41"/>
        <v>5502441</v>
      </c>
      <c r="AJ24" s="132">
        <f t="shared" si="41"/>
        <v>15912106</v>
      </c>
      <c r="AK24" s="132">
        <f t="shared" si="41"/>
        <v>6349426</v>
      </c>
      <c r="AL24" s="132">
        <f t="shared" si="41"/>
        <v>29610117</v>
      </c>
      <c r="AM24" s="132">
        <f t="shared" si="41"/>
        <v>3244304</v>
      </c>
      <c r="AN24" s="132">
        <f t="shared" si="41"/>
        <v>75093</v>
      </c>
      <c r="AO24" s="133">
        <f t="shared" si="41"/>
        <v>7021</v>
      </c>
      <c r="AP24" s="132">
        <f t="shared" si="41"/>
        <v>7432758</v>
      </c>
      <c r="AQ24" s="132">
        <f t="shared" si="41"/>
        <v>541119</v>
      </c>
      <c r="AR24" s="132">
        <f t="shared" si="41"/>
        <v>5234522</v>
      </c>
      <c r="AS24" s="132">
        <f t="shared" si="41"/>
        <v>94123</v>
      </c>
      <c r="AT24" s="132">
        <f>AH24-SUM(AI24:AS24)</f>
        <v>189072080</v>
      </c>
      <c r="AU24" s="257">
        <f>SUM(AI24:AT24)</f>
        <v>263075110</v>
      </c>
      <c r="AV24" s="173">
        <v>5502441</v>
      </c>
      <c r="AW24" s="132">
        <v>15912106</v>
      </c>
      <c r="AX24" s="132">
        <v>6349426</v>
      </c>
      <c r="AY24" s="132">
        <v>29610117</v>
      </c>
      <c r="AZ24" s="132">
        <v>3244304</v>
      </c>
      <c r="BA24" s="132">
        <v>75093</v>
      </c>
      <c r="BB24" s="133">
        <v>7021</v>
      </c>
      <c r="BC24" s="132">
        <v>7432758</v>
      </c>
      <c r="BD24" s="132">
        <v>541119</v>
      </c>
      <c r="BE24" s="132">
        <v>5234522</v>
      </c>
      <c r="BF24" s="132">
        <v>94123</v>
      </c>
      <c r="BG24" s="132">
        <v>508080</v>
      </c>
      <c r="BH24" s="257">
        <f>SUM(AV24:BG24)</f>
        <v>74511110</v>
      </c>
      <c r="BI24" s="275">
        <f>U24-AH24</f>
        <v>41773413</v>
      </c>
      <c r="BJ24" s="276">
        <f>AH24-AU24</f>
        <v>0</v>
      </c>
      <c r="BK24" s="277">
        <f>AU24-BH24</f>
        <v>188564000</v>
      </c>
    </row>
    <row r="25" spans="1:63" s="102" customFormat="1" ht="21" customHeight="1">
      <c r="A25" s="182" t="s">
        <v>131</v>
      </c>
      <c r="B25" s="183" t="s">
        <v>134</v>
      </c>
      <c r="C25" s="184" t="s">
        <v>142</v>
      </c>
      <c r="D25" s="183" t="s">
        <v>132</v>
      </c>
      <c r="E25" s="183" t="s">
        <v>132</v>
      </c>
      <c r="F25" s="183"/>
      <c r="G25" s="185" t="s">
        <v>159</v>
      </c>
      <c r="H25" s="186">
        <f aca="true" t="shared" si="42" ref="H25:M25">SUM(H26:H32)</f>
        <v>1025714744</v>
      </c>
      <c r="I25" s="187">
        <f t="shared" si="42"/>
        <v>-145000000</v>
      </c>
      <c r="J25" s="187">
        <f t="shared" si="42"/>
        <v>145000000</v>
      </c>
      <c r="K25" s="187">
        <f t="shared" si="42"/>
        <v>0</v>
      </c>
      <c r="L25" s="187">
        <f t="shared" si="42"/>
        <v>0</v>
      </c>
      <c r="M25" s="187">
        <f t="shared" si="42"/>
        <v>3046100000</v>
      </c>
      <c r="N25" s="188">
        <f t="shared" si="1"/>
        <v>4071814744</v>
      </c>
      <c r="O25" s="186">
        <f aca="true" t="shared" si="43" ref="O25:T25">SUM(O26:O32)</f>
        <v>4758767940</v>
      </c>
      <c r="P25" s="187">
        <f t="shared" si="43"/>
        <v>-3878053196</v>
      </c>
      <c r="Q25" s="187">
        <f t="shared" si="43"/>
        <v>145000000</v>
      </c>
      <c r="R25" s="187">
        <f t="shared" si="43"/>
        <v>0</v>
      </c>
      <c r="S25" s="187">
        <f t="shared" si="43"/>
        <v>0</v>
      </c>
      <c r="T25" s="187">
        <f t="shared" si="43"/>
        <v>3046100000</v>
      </c>
      <c r="U25" s="188">
        <f t="shared" si="32"/>
        <v>4071814744</v>
      </c>
      <c r="V25" s="186">
        <f aca="true" t="shared" si="44" ref="V25:AG25">SUM(V26:V32)</f>
        <v>0</v>
      </c>
      <c r="W25" s="187">
        <f t="shared" si="44"/>
        <v>14361110</v>
      </c>
      <c r="X25" s="187">
        <f t="shared" si="44"/>
        <v>0</v>
      </c>
      <c r="Y25" s="187">
        <f t="shared" si="44"/>
        <v>0</v>
      </c>
      <c r="Z25" s="187">
        <f t="shared" si="44"/>
        <v>7896547</v>
      </c>
      <c r="AA25" s="187">
        <f t="shared" si="44"/>
        <v>0</v>
      </c>
      <c r="AB25" s="189">
        <f t="shared" si="44"/>
        <v>0</v>
      </c>
      <c r="AC25" s="187">
        <f t="shared" si="44"/>
        <v>0</v>
      </c>
      <c r="AD25" s="187">
        <f t="shared" si="44"/>
        <v>250358556</v>
      </c>
      <c r="AE25" s="187">
        <f t="shared" si="44"/>
        <v>0</v>
      </c>
      <c r="AF25" s="187">
        <f t="shared" si="44"/>
        <v>7663091</v>
      </c>
      <c r="AG25" s="187">
        <f t="shared" si="44"/>
        <v>3191535000</v>
      </c>
      <c r="AH25" s="188">
        <f t="shared" si="34"/>
        <v>3471814304</v>
      </c>
      <c r="AI25" s="186">
        <f aca="true" t="shared" si="45" ref="AI25:AT25">SUM(AI26:AI32)</f>
        <v>0</v>
      </c>
      <c r="AJ25" s="187">
        <f t="shared" si="45"/>
        <v>14361110</v>
      </c>
      <c r="AK25" s="187">
        <f t="shared" si="45"/>
        <v>0</v>
      </c>
      <c r="AL25" s="187">
        <f t="shared" si="45"/>
        <v>0</v>
      </c>
      <c r="AM25" s="187">
        <f t="shared" si="45"/>
        <v>7896547</v>
      </c>
      <c r="AN25" s="187">
        <f t="shared" si="45"/>
        <v>0</v>
      </c>
      <c r="AO25" s="189">
        <f t="shared" si="45"/>
        <v>0</v>
      </c>
      <c r="AP25" s="187">
        <f t="shared" si="45"/>
        <v>0</v>
      </c>
      <c r="AQ25" s="187">
        <f t="shared" si="45"/>
        <v>250358556</v>
      </c>
      <c r="AR25" s="187">
        <f t="shared" si="45"/>
        <v>0</v>
      </c>
      <c r="AS25" s="187">
        <f t="shared" si="45"/>
        <v>7663091</v>
      </c>
      <c r="AT25" s="187">
        <f t="shared" si="45"/>
        <v>3191535000</v>
      </c>
      <c r="AU25" s="188">
        <f aca="true" t="shared" si="46" ref="AU25:AU35">SUM(AI25:AT25)</f>
        <v>3471814304</v>
      </c>
      <c r="AV25" s="186">
        <f aca="true" t="shared" si="47" ref="AV25:BG25">SUM(AV26:AV32)</f>
        <v>0</v>
      </c>
      <c r="AW25" s="187">
        <f t="shared" si="47"/>
        <v>14361110</v>
      </c>
      <c r="AX25" s="187">
        <f t="shared" si="47"/>
        <v>0</v>
      </c>
      <c r="AY25" s="187">
        <f t="shared" si="47"/>
        <v>0</v>
      </c>
      <c r="AZ25" s="187">
        <f t="shared" si="47"/>
        <v>7896547</v>
      </c>
      <c r="BA25" s="187">
        <f t="shared" si="47"/>
        <v>0</v>
      </c>
      <c r="BB25" s="189">
        <f t="shared" si="47"/>
        <v>0</v>
      </c>
      <c r="BC25" s="187">
        <f t="shared" si="47"/>
        <v>0</v>
      </c>
      <c r="BD25" s="187">
        <f t="shared" si="47"/>
        <v>250358556</v>
      </c>
      <c r="BE25" s="187">
        <f t="shared" si="47"/>
        <v>0</v>
      </c>
      <c r="BF25" s="187">
        <f t="shared" si="47"/>
        <v>7663091</v>
      </c>
      <c r="BG25" s="187">
        <f t="shared" si="47"/>
        <v>3046100000</v>
      </c>
      <c r="BH25" s="188">
        <f t="shared" si="37"/>
        <v>3326379304</v>
      </c>
      <c r="BI25" s="272">
        <f t="shared" si="38"/>
        <v>600000440</v>
      </c>
      <c r="BJ25" s="273">
        <f t="shared" si="39"/>
        <v>0</v>
      </c>
      <c r="BK25" s="274">
        <f t="shared" si="40"/>
        <v>145435000</v>
      </c>
    </row>
    <row r="26" spans="1:63" ht="21" customHeight="1">
      <c r="A26" s="136" t="s">
        <v>131</v>
      </c>
      <c r="B26" s="130" t="s">
        <v>134</v>
      </c>
      <c r="C26" s="130" t="s">
        <v>160</v>
      </c>
      <c r="D26" s="130" t="s">
        <v>135</v>
      </c>
      <c r="E26" s="130" t="s">
        <v>135</v>
      </c>
      <c r="F26" s="130" t="s">
        <v>138</v>
      </c>
      <c r="G26" s="131" t="s">
        <v>161</v>
      </c>
      <c r="H26" s="173">
        <f aca="true" t="shared" si="48" ref="H26:H32">U26-SUM(I26:M26)</f>
        <v>272864140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257">
        <f t="shared" si="1"/>
        <v>272864140</v>
      </c>
      <c r="O26" s="173">
        <v>272864140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257">
        <f t="shared" si="32"/>
        <v>272864140</v>
      </c>
      <c r="V26" s="173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3">
        <v>0</v>
      </c>
      <c r="AC26" s="132">
        <v>0</v>
      </c>
      <c r="AD26" s="132">
        <v>250033484</v>
      </c>
      <c r="AE26" s="132">
        <v>0</v>
      </c>
      <c r="AF26" s="132">
        <v>0</v>
      </c>
      <c r="AG26" s="132">
        <v>0</v>
      </c>
      <c r="AH26" s="257">
        <f t="shared" si="34"/>
        <v>250033484</v>
      </c>
      <c r="AI26" s="173">
        <f aca="true" t="shared" si="49" ref="AI26:AI32">AV26</f>
        <v>0</v>
      </c>
      <c r="AJ26" s="132">
        <f aca="true" t="shared" si="50" ref="AJ26:AJ32">AW26</f>
        <v>0</v>
      </c>
      <c r="AK26" s="132">
        <f aca="true" t="shared" si="51" ref="AK26:AK32">AX26</f>
        <v>0</v>
      </c>
      <c r="AL26" s="132">
        <f aca="true" t="shared" si="52" ref="AL26:AL32">AY26</f>
        <v>0</v>
      </c>
      <c r="AM26" s="132">
        <f aca="true" t="shared" si="53" ref="AM26:AM32">AZ26</f>
        <v>0</v>
      </c>
      <c r="AN26" s="132">
        <f aca="true" t="shared" si="54" ref="AN26:AN32">BA26</f>
        <v>0</v>
      </c>
      <c r="AO26" s="133">
        <f aca="true" t="shared" si="55" ref="AO26:AO32">BB26</f>
        <v>0</v>
      </c>
      <c r="AP26" s="132">
        <f aca="true" t="shared" si="56" ref="AP26:AP32">BC26</f>
        <v>0</v>
      </c>
      <c r="AQ26" s="132">
        <f aca="true" t="shared" si="57" ref="AQ26:AQ32">BD26</f>
        <v>250033484</v>
      </c>
      <c r="AR26" s="132">
        <f aca="true" t="shared" si="58" ref="AR26:AR32">BE26</f>
        <v>0</v>
      </c>
      <c r="AS26" s="132">
        <f aca="true" t="shared" si="59" ref="AS26:AS32">BF26</f>
        <v>0</v>
      </c>
      <c r="AT26" s="132">
        <f aca="true" t="shared" si="60" ref="AT26:AT32">AH26-SUM(AI26:AS26)</f>
        <v>0</v>
      </c>
      <c r="AU26" s="257">
        <f t="shared" si="46"/>
        <v>250033484</v>
      </c>
      <c r="AV26" s="173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0</v>
      </c>
      <c r="BB26" s="133">
        <v>0</v>
      </c>
      <c r="BC26" s="132">
        <v>0</v>
      </c>
      <c r="BD26" s="132">
        <v>250033484</v>
      </c>
      <c r="BE26" s="132">
        <v>0</v>
      </c>
      <c r="BF26" s="132">
        <v>0</v>
      </c>
      <c r="BG26" s="132">
        <v>0</v>
      </c>
      <c r="BH26" s="257">
        <f t="shared" si="37"/>
        <v>250033484</v>
      </c>
      <c r="BI26" s="275">
        <f t="shared" si="38"/>
        <v>22830656</v>
      </c>
      <c r="BJ26" s="276">
        <f t="shared" si="39"/>
        <v>0</v>
      </c>
      <c r="BK26" s="277">
        <f t="shared" si="40"/>
        <v>0</v>
      </c>
    </row>
    <row r="27" spans="1:63" ht="21" customHeight="1">
      <c r="A27" s="136" t="s">
        <v>131</v>
      </c>
      <c r="B27" s="130" t="s">
        <v>134</v>
      </c>
      <c r="C27" s="130" t="s">
        <v>160</v>
      </c>
      <c r="D27" s="130" t="s">
        <v>135</v>
      </c>
      <c r="E27" s="130" t="s">
        <v>140</v>
      </c>
      <c r="F27" s="130" t="s">
        <v>192</v>
      </c>
      <c r="G27" s="131" t="s">
        <v>340</v>
      </c>
      <c r="H27" s="173">
        <f>U27-SUM(I27:M27)</f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3046100000</v>
      </c>
      <c r="N27" s="257">
        <f>SUM(H27:M27)</f>
        <v>3046100000</v>
      </c>
      <c r="O27" s="173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3046100000</v>
      </c>
      <c r="U27" s="257">
        <f>SUM(O27:T27)</f>
        <v>3046100000</v>
      </c>
      <c r="V27" s="173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3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3046100000</v>
      </c>
      <c r="AH27" s="257">
        <f>SUM(V27:AG27)</f>
        <v>3046100000</v>
      </c>
      <c r="AI27" s="173">
        <f aca="true" t="shared" si="61" ref="AI27:AS27">AV27</f>
        <v>0</v>
      </c>
      <c r="AJ27" s="132">
        <f t="shared" si="61"/>
        <v>0</v>
      </c>
      <c r="AK27" s="132">
        <f t="shared" si="61"/>
        <v>0</v>
      </c>
      <c r="AL27" s="132">
        <f t="shared" si="61"/>
        <v>0</v>
      </c>
      <c r="AM27" s="132">
        <f t="shared" si="61"/>
        <v>0</v>
      </c>
      <c r="AN27" s="132">
        <f t="shared" si="61"/>
        <v>0</v>
      </c>
      <c r="AO27" s="133">
        <f t="shared" si="61"/>
        <v>0</v>
      </c>
      <c r="AP27" s="132">
        <f t="shared" si="61"/>
        <v>0</v>
      </c>
      <c r="AQ27" s="132">
        <f t="shared" si="61"/>
        <v>0</v>
      </c>
      <c r="AR27" s="132">
        <f t="shared" si="61"/>
        <v>0</v>
      </c>
      <c r="AS27" s="132">
        <f t="shared" si="61"/>
        <v>0</v>
      </c>
      <c r="AT27" s="132">
        <f t="shared" si="60"/>
        <v>3046100000</v>
      </c>
      <c r="AU27" s="257">
        <f>SUM(AI27:AT27)</f>
        <v>3046100000</v>
      </c>
      <c r="AV27" s="173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3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3046100000</v>
      </c>
      <c r="BH27" s="257">
        <f>SUM(AV27:BG27)</f>
        <v>3046100000</v>
      </c>
      <c r="BI27" s="275">
        <f>U27-AH27</f>
        <v>0</v>
      </c>
      <c r="BJ27" s="276">
        <f>AH27-AU27</f>
        <v>0</v>
      </c>
      <c r="BK27" s="277">
        <f>AU27-BH27</f>
        <v>0</v>
      </c>
    </row>
    <row r="28" spans="1:63" ht="21" customHeight="1">
      <c r="A28" s="136" t="s">
        <v>131</v>
      </c>
      <c r="B28" s="130" t="s">
        <v>134</v>
      </c>
      <c r="C28" s="134" t="s">
        <v>160</v>
      </c>
      <c r="D28" s="130" t="s">
        <v>135</v>
      </c>
      <c r="E28" s="130" t="s">
        <v>144</v>
      </c>
      <c r="F28" s="130" t="s">
        <v>138</v>
      </c>
      <c r="G28" s="131" t="s">
        <v>256</v>
      </c>
      <c r="H28" s="173">
        <f t="shared" si="48"/>
        <v>701875579</v>
      </c>
      <c r="I28" s="132">
        <v>-145000000</v>
      </c>
      <c r="J28" s="132">
        <v>0</v>
      </c>
      <c r="K28" s="132">
        <v>0</v>
      </c>
      <c r="L28" s="132">
        <v>0</v>
      </c>
      <c r="M28" s="132">
        <v>0</v>
      </c>
      <c r="N28" s="257">
        <f>SUM(H28:M28)</f>
        <v>556875579</v>
      </c>
      <c r="O28" s="173">
        <v>3638512075</v>
      </c>
      <c r="P28" s="132">
        <f>-1633682086-1031102039-271852371-145000000</f>
        <v>-3081636496</v>
      </c>
      <c r="Q28" s="132">
        <v>0</v>
      </c>
      <c r="R28" s="132">
        <v>0</v>
      </c>
      <c r="S28" s="132">
        <v>0</v>
      </c>
      <c r="T28" s="132">
        <v>0</v>
      </c>
      <c r="U28" s="257">
        <f>SUM(O28:T28)</f>
        <v>556875579</v>
      </c>
      <c r="V28" s="173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3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257">
        <f>SUM(V28:AG28)</f>
        <v>0</v>
      </c>
      <c r="AI28" s="173">
        <f aca="true" t="shared" si="62" ref="AI28:AS29">AV28</f>
        <v>0</v>
      </c>
      <c r="AJ28" s="132">
        <f t="shared" si="62"/>
        <v>0</v>
      </c>
      <c r="AK28" s="132">
        <f t="shared" si="62"/>
        <v>0</v>
      </c>
      <c r="AL28" s="132">
        <f t="shared" si="62"/>
        <v>0</v>
      </c>
      <c r="AM28" s="132">
        <f t="shared" si="62"/>
        <v>0</v>
      </c>
      <c r="AN28" s="132">
        <f t="shared" si="62"/>
        <v>0</v>
      </c>
      <c r="AO28" s="133">
        <f t="shared" si="62"/>
        <v>0</v>
      </c>
      <c r="AP28" s="132">
        <f t="shared" si="62"/>
        <v>0</v>
      </c>
      <c r="AQ28" s="132">
        <f t="shared" si="62"/>
        <v>0</v>
      </c>
      <c r="AR28" s="132">
        <f t="shared" si="62"/>
        <v>0</v>
      </c>
      <c r="AS28" s="132">
        <f t="shared" si="62"/>
        <v>0</v>
      </c>
      <c r="AT28" s="132">
        <f t="shared" si="60"/>
        <v>0</v>
      </c>
      <c r="AU28" s="257">
        <f>SUM(AI28:AT28)</f>
        <v>0</v>
      </c>
      <c r="AV28" s="173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3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257">
        <f>SUM(AV28:BG28)</f>
        <v>0</v>
      </c>
      <c r="BI28" s="275">
        <f>U28-AH28</f>
        <v>556875579</v>
      </c>
      <c r="BJ28" s="276">
        <f>AH28-AU28</f>
        <v>0</v>
      </c>
      <c r="BK28" s="277">
        <f>AU28-BH28</f>
        <v>0</v>
      </c>
    </row>
    <row r="29" spans="1:63" ht="25.5">
      <c r="A29" s="136" t="s">
        <v>131</v>
      </c>
      <c r="B29" s="130" t="s">
        <v>134</v>
      </c>
      <c r="C29" s="134" t="s">
        <v>160</v>
      </c>
      <c r="D29" s="130" t="s">
        <v>135</v>
      </c>
      <c r="E29" s="130" t="s">
        <v>190</v>
      </c>
      <c r="F29" s="130" t="s">
        <v>138</v>
      </c>
      <c r="G29" s="131" t="s">
        <v>257</v>
      </c>
      <c r="H29" s="173">
        <f t="shared" si="48"/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257">
        <f>SUM(H29:M29)</f>
        <v>0</v>
      </c>
      <c r="O29" s="173">
        <v>796416700</v>
      </c>
      <c r="P29" s="132">
        <v>-796416700</v>
      </c>
      <c r="Q29" s="132">
        <v>0</v>
      </c>
      <c r="R29" s="132">
        <v>0</v>
      </c>
      <c r="S29" s="132">
        <v>0</v>
      </c>
      <c r="T29" s="132">
        <v>0</v>
      </c>
      <c r="U29" s="257">
        <f>SUM(O29:T29)</f>
        <v>0</v>
      </c>
      <c r="V29" s="173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3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257">
        <f>SUM(V29:AG29)</f>
        <v>0</v>
      </c>
      <c r="AI29" s="173">
        <f t="shared" si="62"/>
        <v>0</v>
      </c>
      <c r="AJ29" s="132">
        <f t="shared" si="62"/>
        <v>0</v>
      </c>
      <c r="AK29" s="132">
        <f t="shared" si="62"/>
        <v>0</v>
      </c>
      <c r="AL29" s="132">
        <f t="shared" si="62"/>
        <v>0</v>
      </c>
      <c r="AM29" s="132">
        <f t="shared" si="62"/>
        <v>0</v>
      </c>
      <c r="AN29" s="132">
        <f t="shared" si="62"/>
        <v>0</v>
      </c>
      <c r="AO29" s="133">
        <f t="shared" si="62"/>
        <v>0</v>
      </c>
      <c r="AP29" s="132">
        <f t="shared" si="62"/>
        <v>0</v>
      </c>
      <c r="AQ29" s="132">
        <f t="shared" si="62"/>
        <v>0</v>
      </c>
      <c r="AR29" s="132">
        <f t="shared" si="62"/>
        <v>0</v>
      </c>
      <c r="AS29" s="132">
        <f t="shared" si="62"/>
        <v>0</v>
      </c>
      <c r="AT29" s="132">
        <f t="shared" si="60"/>
        <v>0</v>
      </c>
      <c r="AU29" s="257">
        <f>SUM(AI29:AT29)</f>
        <v>0</v>
      </c>
      <c r="AV29" s="173">
        <v>0</v>
      </c>
      <c r="AW29" s="132">
        <v>0</v>
      </c>
      <c r="AX29" s="132">
        <v>0</v>
      </c>
      <c r="AY29" s="132">
        <v>0</v>
      </c>
      <c r="AZ29" s="132">
        <v>0</v>
      </c>
      <c r="BA29" s="132">
        <v>0</v>
      </c>
      <c r="BB29" s="133">
        <v>0</v>
      </c>
      <c r="BC29" s="132">
        <v>0</v>
      </c>
      <c r="BD29" s="132">
        <v>0</v>
      </c>
      <c r="BE29" s="132">
        <v>0</v>
      </c>
      <c r="BF29" s="132">
        <v>0</v>
      </c>
      <c r="BG29" s="132">
        <v>0</v>
      </c>
      <c r="BH29" s="257">
        <f>SUM(AV29:BG29)</f>
        <v>0</v>
      </c>
      <c r="BI29" s="275">
        <f>U29-AH29</f>
        <v>0</v>
      </c>
      <c r="BJ29" s="276">
        <f>AH29-AU29</f>
        <v>0</v>
      </c>
      <c r="BK29" s="277">
        <f>AU29-BH29</f>
        <v>0</v>
      </c>
    </row>
    <row r="30" spans="1:63" ht="21" customHeight="1">
      <c r="A30" s="136" t="s">
        <v>131</v>
      </c>
      <c r="B30" s="130" t="s">
        <v>134</v>
      </c>
      <c r="C30" s="134" t="s">
        <v>162</v>
      </c>
      <c r="D30" s="130" t="s">
        <v>135</v>
      </c>
      <c r="E30" s="130" t="s">
        <v>132</v>
      </c>
      <c r="F30" s="130" t="s">
        <v>138</v>
      </c>
      <c r="G30" s="131" t="s">
        <v>163</v>
      </c>
      <c r="H30" s="173">
        <f t="shared" si="48"/>
        <v>15525000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257">
        <f t="shared" si="1"/>
        <v>15525000</v>
      </c>
      <c r="O30" s="173">
        <v>15525000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257">
        <f t="shared" si="32"/>
        <v>15525000</v>
      </c>
      <c r="V30" s="173">
        <v>0</v>
      </c>
      <c r="W30" s="132">
        <v>14361110</v>
      </c>
      <c r="X30" s="132">
        <v>0</v>
      </c>
      <c r="Y30" s="132">
        <v>0</v>
      </c>
      <c r="Z30" s="132">
        <v>0</v>
      </c>
      <c r="AA30" s="132">
        <v>0</v>
      </c>
      <c r="AB30" s="133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257">
        <f t="shared" si="34"/>
        <v>14361110</v>
      </c>
      <c r="AI30" s="173">
        <f t="shared" si="49"/>
        <v>0</v>
      </c>
      <c r="AJ30" s="132">
        <f t="shared" si="50"/>
        <v>14361110</v>
      </c>
      <c r="AK30" s="132">
        <f t="shared" si="51"/>
        <v>0</v>
      </c>
      <c r="AL30" s="132">
        <f t="shared" si="52"/>
        <v>0</v>
      </c>
      <c r="AM30" s="132">
        <f t="shared" si="53"/>
        <v>0</v>
      </c>
      <c r="AN30" s="132">
        <f t="shared" si="54"/>
        <v>0</v>
      </c>
      <c r="AO30" s="133">
        <f t="shared" si="55"/>
        <v>0</v>
      </c>
      <c r="AP30" s="132">
        <f t="shared" si="56"/>
        <v>0</v>
      </c>
      <c r="AQ30" s="132">
        <f t="shared" si="57"/>
        <v>0</v>
      </c>
      <c r="AR30" s="132">
        <f t="shared" si="58"/>
        <v>0</v>
      </c>
      <c r="AS30" s="132">
        <f t="shared" si="59"/>
        <v>0</v>
      </c>
      <c r="AT30" s="132">
        <f t="shared" si="60"/>
        <v>0</v>
      </c>
      <c r="AU30" s="257">
        <f t="shared" si="46"/>
        <v>14361110</v>
      </c>
      <c r="AV30" s="173">
        <v>0</v>
      </c>
      <c r="AW30" s="132">
        <v>14361110</v>
      </c>
      <c r="AX30" s="132">
        <v>0</v>
      </c>
      <c r="AY30" s="132">
        <v>0</v>
      </c>
      <c r="AZ30" s="132">
        <v>0</v>
      </c>
      <c r="BA30" s="132">
        <v>0</v>
      </c>
      <c r="BB30" s="133">
        <v>0</v>
      </c>
      <c r="BC30" s="132">
        <v>0</v>
      </c>
      <c r="BD30" s="132">
        <v>0</v>
      </c>
      <c r="BE30" s="132">
        <v>0</v>
      </c>
      <c r="BF30" s="132">
        <v>0</v>
      </c>
      <c r="BG30" s="132">
        <v>0</v>
      </c>
      <c r="BH30" s="257">
        <f t="shared" si="37"/>
        <v>14361110</v>
      </c>
      <c r="BI30" s="275">
        <f t="shared" si="38"/>
        <v>1163890</v>
      </c>
      <c r="BJ30" s="276">
        <f t="shared" si="39"/>
        <v>0</v>
      </c>
      <c r="BK30" s="277">
        <f t="shared" si="40"/>
        <v>0</v>
      </c>
    </row>
    <row r="31" spans="1:63" ht="21" customHeight="1">
      <c r="A31" s="136" t="s">
        <v>131</v>
      </c>
      <c r="B31" s="130" t="s">
        <v>134</v>
      </c>
      <c r="C31" s="130" t="s">
        <v>164</v>
      </c>
      <c r="D31" s="130" t="s">
        <v>135</v>
      </c>
      <c r="E31" s="130" t="s">
        <v>132</v>
      </c>
      <c r="F31" s="130" t="s">
        <v>138</v>
      </c>
      <c r="G31" s="131" t="s">
        <v>165</v>
      </c>
      <c r="H31" s="173">
        <f t="shared" si="48"/>
        <v>6675000</v>
      </c>
      <c r="I31" s="132">
        <v>0</v>
      </c>
      <c r="J31" s="132">
        <v>145000000</v>
      </c>
      <c r="K31" s="132">
        <v>0</v>
      </c>
      <c r="L31" s="132">
        <v>0</v>
      </c>
      <c r="M31" s="132">
        <v>0</v>
      </c>
      <c r="N31" s="257">
        <f t="shared" si="1"/>
        <v>151675000</v>
      </c>
      <c r="O31" s="173">
        <v>6675000</v>
      </c>
      <c r="P31" s="132">
        <v>0</v>
      </c>
      <c r="Q31" s="132">
        <v>145000000</v>
      </c>
      <c r="R31" s="132">
        <v>0</v>
      </c>
      <c r="S31" s="132">
        <v>0</v>
      </c>
      <c r="T31" s="132">
        <v>0</v>
      </c>
      <c r="U31" s="257">
        <f t="shared" si="32"/>
        <v>151675000</v>
      </c>
      <c r="V31" s="173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3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145435000</v>
      </c>
      <c r="AH31" s="257">
        <f t="shared" si="34"/>
        <v>145435000</v>
      </c>
      <c r="AI31" s="173">
        <f t="shared" si="49"/>
        <v>0</v>
      </c>
      <c r="AJ31" s="132">
        <f t="shared" si="50"/>
        <v>0</v>
      </c>
      <c r="AK31" s="132">
        <f t="shared" si="51"/>
        <v>0</v>
      </c>
      <c r="AL31" s="132">
        <f t="shared" si="52"/>
        <v>0</v>
      </c>
      <c r="AM31" s="132">
        <f t="shared" si="53"/>
        <v>0</v>
      </c>
      <c r="AN31" s="132">
        <f t="shared" si="54"/>
        <v>0</v>
      </c>
      <c r="AO31" s="133">
        <f t="shared" si="55"/>
        <v>0</v>
      </c>
      <c r="AP31" s="132">
        <f t="shared" si="56"/>
        <v>0</v>
      </c>
      <c r="AQ31" s="132">
        <f t="shared" si="57"/>
        <v>0</v>
      </c>
      <c r="AR31" s="132">
        <f t="shared" si="58"/>
        <v>0</v>
      </c>
      <c r="AS31" s="132">
        <f t="shared" si="59"/>
        <v>0</v>
      </c>
      <c r="AT31" s="132">
        <f t="shared" si="60"/>
        <v>145435000</v>
      </c>
      <c r="AU31" s="257">
        <f t="shared" si="46"/>
        <v>145435000</v>
      </c>
      <c r="AV31" s="173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3">
        <v>0</v>
      </c>
      <c r="BC31" s="132">
        <v>0</v>
      </c>
      <c r="BD31" s="132">
        <v>0</v>
      </c>
      <c r="BE31" s="132">
        <v>0</v>
      </c>
      <c r="BF31" s="132">
        <v>0</v>
      </c>
      <c r="BG31" s="132">
        <v>0</v>
      </c>
      <c r="BH31" s="257">
        <f t="shared" si="37"/>
        <v>0</v>
      </c>
      <c r="BI31" s="275">
        <f t="shared" si="38"/>
        <v>6240000</v>
      </c>
      <c r="BJ31" s="276">
        <f t="shared" si="39"/>
        <v>0</v>
      </c>
      <c r="BK31" s="277">
        <f t="shared" si="40"/>
        <v>145435000</v>
      </c>
    </row>
    <row r="32" spans="1:63" ht="21" customHeight="1">
      <c r="A32" s="136" t="s">
        <v>131</v>
      </c>
      <c r="B32" s="130" t="s">
        <v>134</v>
      </c>
      <c r="C32" s="134" t="s">
        <v>164</v>
      </c>
      <c r="D32" s="130" t="s">
        <v>142</v>
      </c>
      <c r="E32" s="130" t="s">
        <v>135</v>
      </c>
      <c r="F32" s="130" t="s">
        <v>138</v>
      </c>
      <c r="G32" s="135" t="s">
        <v>166</v>
      </c>
      <c r="H32" s="173">
        <f t="shared" si="48"/>
        <v>28775025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257">
        <f t="shared" si="1"/>
        <v>28775025</v>
      </c>
      <c r="O32" s="173">
        <v>28775025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257">
        <f t="shared" si="32"/>
        <v>28775025</v>
      </c>
      <c r="V32" s="173">
        <v>0</v>
      </c>
      <c r="W32" s="132">
        <v>0</v>
      </c>
      <c r="X32" s="132">
        <v>0</v>
      </c>
      <c r="Y32" s="132">
        <v>0</v>
      </c>
      <c r="Z32" s="132">
        <v>7896547</v>
      </c>
      <c r="AA32" s="132">
        <v>0</v>
      </c>
      <c r="AB32" s="133">
        <v>0</v>
      </c>
      <c r="AC32" s="132">
        <v>0</v>
      </c>
      <c r="AD32" s="132">
        <v>325072</v>
      </c>
      <c r="AE32" s="132">
        <v>0</v>
      </c>
      <c r="AF32" s="132">
        <v>7663091</v>
      </c>
      <c r="AG32" s="132">
        <v>0</v>
      </c>
      <c r="AH32" s="257">
        <f t="shared" si="34"/>
        <v>15884710</v>
      </c>
      <c r="AI32" s="173">
        <f t="shared" si="49"/>
        <v>0</v>
      </c>
      <c r="AJ32" s="132">
        <f t="shared" si="50"/>
        <v>0</v>
      </c>
      <c r="AK32" s="132">
        <f t="shared" si="51"/>
        <v>0</v>
      </c>
      <c r="AL32" s="132">
        <f t="shared" si="52"/>
        <v>0</v>
      </c>
      <c r="AM32" s="132">
        <f t="shared" si="53"/>
        <v>7896547</v>
      </c>
      <c r="AN32" s="132">
        <f t="shared" si="54"/>
        <v>0</v>
      </c>
      <c r="AO32" s="133">
        <f t="shared" si="55"/>
        <v>0</v>
      </c>
      <c r="AP32" s="132">
        <f t="shared" si="56"/>
        <v>0</v>
      </c>
      <c r="AQ32" s="132">
        <f t="shared" si="57"/>
        <v>325072</v>
      </c>
      <c r="AR32" s="132">
        <f t="shared" si="58"/>
        <v>0</v>
      </c>
      <c r="AS32" s="132">
        <f t="shared" si="59"/>
        <v>7663091</v>
      </c>
      <c r="AT32" s="132">
        <f t="shared" si="60"/>
        <v>0</v>
      </c>
      <c r="AU32" s="257">
        <f t="shared" si="46"/>
        <v>15884710</v>
      </c>
      <c r="AV32" s="173">
        <v>0</v>
      </c>
      <c r="AW32" s="132">
        <v>0</v>
      </c>
      <c r="AX32" s="132">
        <v>0</v>
      </c>
      <c r="AY32" s="132">
        <v>0</v>
      </c>
      <c r="AZ32" s="132">
        <v>7896547</v>
      </c>
      <c r="BA32" s="132">
        <v>0</v>
      </c>
      <c r="BB32" s="133">
        <v>0</v>
      </c>
      <c r="BC32" s="132">
        <v>0</v>
      </c>
      <c r="BD32" s="132">
        <v>325072</v>
      </c>
      <c r="BE32" s="132">
        <v>0</v>
      </c>
      <c r="BF32" s="132">
        <v>7663091</v>
      </c>
      <c r="BG32" s="132">
        <v>0</v>
      </c>
      <c r="BH32" s="257">
        <f t="shared" si="37"/>
        <v>15884710</v>
      </c>
      <c r="BI32" s="275">
        <f t="shared" si="38"/>
        <v>12890315</v>
      </c>
      <c r="BJ32" s="276">
        <f t="shared" si="39"/>
        <v>0</v>
      </c>
      <c r="BK32" s="277">
        <f t="shared" si="40"/>
        <v>0</v>
      </c>
    </row>
    <row r="33" spans="1:63" s="102" customFormat="1" ht="21" customHeight="1">
      <c r="A33" s="182" t="s">
        <v>167</v>
      </c>
      <c r="B33" s="183" t="s">
        <v>134</v>
      </c>
      <c r="C33" s="184" t="s">
        <v>168</v>
      </c>
      <c r="D33" s="183" t="s">
        <v>132</v>
      </c>
      <c r="E33" s="183" t="s">
        <v>132</v>
      </c>
      <c r="F33" s="183"/>
      <c r="G33" s="185" t="s">
        <v>169</v>
      </c>
      <c r="H33" s="186">
        <f>SUM(H34:H35)</f>
        <v>0</v>
      </c>
      <c r="I33" s="187">
        <f>SUM(I34:I35)</f>
        <v>0</v>
      </c>
      <c r="J33" s="187">
        <f>SUM(J34:J35)</f>
        <v>0</v>
      </c>
      <c r="K33" s="187">
        <f>SUM(K34:K35)</f>
        <v>0</v>
      </c>
      <c r="L33" s="187">
        <f>SUM(L34:L35)</f>
        <v>0</v>
      </c>
      <c r="M33" s="187">
        <f aca="true" t="shared" si="63" ref="M33:T33">SUM(M34:M35)</f>
        <v>0</v>
      </c>
      <c r="N33" s="188">
        <f t="shared" si="63"/>
        <v>0</v>
      </c>
      <c r="O33" s="186">
        <f t="shared" si="63"/>
        <v>0</v>
      </c>
      <c r="P33" s="187">
        <f t="shared" si="63"/>
        <v>0</v>
      </c>
      <c r="Q33" s="187">
        <f t="shared" si="63"/>
        <v>0</v>
      </c>
      <c r="R33" s="187">
        <f t="shared" si="63"/>
        <v>0</v>
      </c>
      <c r="S33" s="187">
        <f t="shared" si="63"/>
        <v>0</v>
      </c>
      <c r="T33" s="187">
        <f t="shared" si="63"/>
        <v>0</v>
      </c>
      <c r="U33" s="188">
        <f aca="true" t="shared" si="64" ref="U33:AE33">SUM(U34:U35)</f>
        <v>0</v>
      </c>
      <c r="V33" s="186">
        <f t="shared" si="64"/>
        <v>0</v>
      </c>
      <c r="W33" s="187">
        <f t="shared" si="64"/>
        <v>0</v>
      </c>
      <c r="X33" s="187">
        <f t="shared" si="64"/>
        <v>0</v>
      </c>
      <c r="Y33" s="187">
        <f t="shared" si="64"/>
        <v>0</v>
      </c>
      <c r="Z33" s="187">
        <f t="shared" si="64"/>
        <v>0</v>
      </c>
      <c r="AA33" s="187">
        <f t="shared" si="64"/>
        <v>0</v>
      </c>
      <c r="AB33" s="189">
        <f t="shared" si="64"/>
        <v>0</v>
      </c>
      <c r="AC33" s="187">
        <f t="shared" si="64"/>
        <v>0</v>
      </c>
      <c r="AD33" s="187">
        <f t="shared" si="64"/>
        <v>0</v>
      </c>
      <c r="AE33" s="187">
        <f t="shared" si="64"/>
        <v>0</v>
      </c>
      <c r="AF33" s="187">
        <f>SUM(AF34:AF35)</f>
        <v>0</v>
      </c>
      <c r="AG33" s="187">
        <f>SUM(AG34:AG35)</f>
        <v>0</v>
      </c>
      <c r="AH33" s="188">
        <f>SUM(V33:AG33)</f>
        <v>0</v>
      </c>
      <c r="AI33" s="186">
        <f>SUM(AI34:AI35)</f>
        <v>0</v>
      </c>
      <c r="AJ33" s="187">
        <f aca="true" t="shared" si="65" ref="AJ33:AT33">SUM(AJ34:AJ35)</f>
        <v>0</v>
      </c>
      <c r="AK33" s="187">
        <f t="shared" si="65"/>
        <v>0</v>
      </c>
      <c r="AL33" s="187">
        <f t="shared" si="65"/>
        <v>0</v>
      </c>
      <c r="AM33" s="187">
        <f t="shared" si="65"/>
        <v>0</v>
      </c>
      <c r="AN33" s="187">
        <f t="shared" si="65"/>
        <v>0</v>
      </c>
      <c r="AO33" s="189">
        <f t="shared" si="65"/>
        <v>0</v>
      </c>
      <c r="AP33" s="187">
        <f t="shared" si="65"/>
        <v>0</v>
      </c>
      <c r="AQ33" s="187">
        <f t="shared" si="65"/>
        <v>0</v>
      </c>
      <c r="AR33" s="187">
        <f t="shared" si="65"/>
        <v>0</v>
      </c>
      <c r="AS33" s="187">
        <f t="shared" si="65"/>
        <v>0</v>
      </c>
      <c r="AT33" s="187">
        <f t="shared" si="65"/>
        <v>0</v>
      </c>
      <c r="AU33" s="188">
        <f t="shared" si="46"/>
        <v>0</v>
      </c>
      <c r="AV33" s="186">
        <f aca="true" t="shared" si="66" ref="AV33:BG33">SUM(AV34:AV35)</f>
        <v>0</v>
      </c>
      <c r="AW33" s="187">
        <f t="shared" si="66"/>
        <v>0</v>
      </c>
      <c r="AX33" s="187">
        <f t="shared" si="66"/>
        <v>0</v>
      </c>
      <c r="AY33" s="187">
        <f t="shared" si="66"/>
        <v>0</v>
      </c>
      <c r="AZ33" s="187">
        <f t="shared" si="66"/>
        <v>0</v>
      </c>
      <c r="BA33" s="187">
        <f t="shared" si="66"/>
        <v>0</v>
      </c>
      <c r="BB33" s="189">
        <f t="shared" si="66"/>
        <v>0</v>
      </c>
      <c r="BC33" s="187">
        <f t="shared" si="66"/>
        <v>0</v>
      </c>
      <c r="BD33" s="187">
        <f t="shared" si="66"/>
        <v>0</v>
      </c>
      <c r="BE33" s="187">
        <f t="shared" si="66"/>
        <v>0</v>
      </c>
      <c r="BF33" s="187">
        <f t="shared" si="66"/>
        <v>0</v>
      </c>
      <c r="BG33" s="187">
        <f t="shared" si="66"/>
        <v>0</v>
      </c>
      <c r="BH33" s="188">
        <f>SUM(AV33:BG33)</f>
        <v>0</v>
      </c>
      <c r="BI33" s="272">
        <f t="shared" si="38"/>
        <v>0</v>
      </c>
      <c r="BJ33" s="273">
        <f t="shared" si="39"/>
        <v>0</v>
      </c>
      <c r="BK33" s="274">
        <f t="shared" si="40"/>
        <v>0</v>
      </c>
    </row>
    <row r="34" spans="1:63" ht="21" customHeight="1">
      <c r="A34" s="136" t="s">
        <v>167</v>
      </c>
      <c r="B34" s="130" t="s">
        <v>134</v>
      </c>
      <c r="C34" s="130" t="s">
        <v>170</v>
      </c>
      <c r="D34" s="130" t="s">
        <v>146</v>
      </c>
      <c r="E34" s="130" t="s">
        <v>132</v>
      </c>
      <c r="F34" s="130" t="s">
        <v>138</v>
      </c>
      <c r="G34" s="135" t="s">
        <v>171</v>
      </c>
      <c r="H34" s="173">
        <f>U34-SUM(I34:M34)</f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257">
        <f>SUM(H34:M34)</f>
        <v>0</v>
      </c>
      <c r="O34" s="173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257">
        <f>SUM(O34:T34)</f>
        <v>0</v>
      </c>
      <c r="V34" s="173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3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257">
        <f>SUM(V34:AG34)</f>
        <v>0</v>
      </c>
      <c r="AI34" s="173">
        <f aca="true" t="shared" si="67" ref="AI34:AT35">AV34</f>
        <v>0</v>
      </c>
      <c r="AJ34" s="132">
        <f t="shared" si="67"/>
        <v>0</v>
      </c>
      <c r="AK34" s="132">
        <f t="shared" si="67"/>
        <v>0</v>
      </c>
      <c r="AL34" s="132">
        <f t="shared" si="67"/>
        <v>0</v>
      </c>
      <c r="AM34" s="132">
        <f t="shared" si="67"/>
        <v>0</v>
      </c>
      <c r="AN34" s="132">
        <f t="shared" si="67"/>
        <v>0</v>
      </c>
      <c r="AO34" s="133">
        <f t="shared" si="67"/>
        <v>0</v>
      </c>
      <c r="AP34" s="132">
        <f t="shared" si="67"/>
        <v>0</v>
      </c>
      <c r="AQ34" s="132">
        <f t="shared" si="67"/>
        <v>0</v>
      </c>
      <c r="AR34" s="132">
        <f t="shared" si="67"/>
        <v>0</v>
      </c>
      <c r="AS34" s="132">
        <f t="shared" si="67"/>
        <v>0</v>
      </c>
      <c r="AT34" s="132">
        <f t="shared" si="67"/>
        <v>0</v>
      </c>
      <c r="AU34" s="257">
        <f t="shared" si="46"/>
        <v>0</v>
      </c>
      <c r="AV34" s="173">
        <v>0</v>
      </c>
      <c r="AW34" s="132">
        <v>0</v>
      </c>
      <c r="AX34" s="132">
        <v>0</v>
      </c>
      <c r="AY34" s="132">
        <v>0</v>
      </c>
      <c r="AZ34" s="132">
        <v>0</v>
      </c>
      <c r="BA34" s="132">
        <v>0</v>
      </c>
      <c r="BB34" s="133">
        <v>0</v>
      </c>
      <c r="BC34" s="132">
        <v>0</v>
      </c>
      <c r="BD34" s="132">
        <v>0</v>
      </c>
      <c r="BE34" s="132">
        <v>0</v>
      </c>
      <c r="BF34" s="132">
        <v>0</v>
      </c>
      <c r="BG34" s="132">
        <v>0</v>
      </c>
      <c r="BH34" s="257">
        <f>SUM(AV34:BG34)</f>
        <v>0</v>
      </c>
      <c r="BI34" s="275">
        <f t="shared" si="38"/>
        <v>0</v>
      </c>
      <c r="BJ34" s="276">
        <f t="shared" si="39"/>
        <v>0</v>
      </c>
      <c r="BK34" s="277">
        <f t="shared" si="40"/>
        <v>0</v>
      </c>
    </row>
    <row r="35" spans="1:63" ht="21" customHeight="1" thickBot="1">
      <c r="A35" s="137" t="s">
        <v>167</v>
      </c>
      <c r="B35" s="138" t="s">
        <v>134</v>
      </c>
      <c r="C35" s="139" t="s">
        <v>172</v>
      </c>
      <c r="D35" s="138" t="s">
        <v>146</v>
      </c>
      <c r="E35" s="138" t="s">
        <v>132</v>
      </c>
      <c r="F35" s="138" t="s">
        <v>138</v>
      </c>
      <c r="G35" s="140" t="s">
        <v>173</v>
      </c>
      <c r="H35" s="174">
        <f>U35-SUM(I35:M35)</f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258">
        <f>SUM(H35:M35)</f>
        <v>0</v>
      </c>
      <c r="O35" s="174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258">
        <f>SUM(O35:T35)</f>
        <v>0</v>
      </c>
      <c r="V35" s="174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2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258">
        <f>SUM(V35:AG35)</f>
        <v>0</v>
      </c>
      <c r="AI35" s="174">
        <f t="shared" si="67"/>
        <v>0</v>
      </c>
      <c r="AJ35" s="141">
        <f t="shared" si="67"/>
        <v>0</v>
      </c>
      <c r="AK35" s="141">
        <f t="shared" si="67"/>
        <v>0</v>
      </c>
      <c r="AL35" s="141">
        <f t="shared" si="67"/>
        <v>0</v>
      </c>
      <c r="AM35" s="141">
        <f t="shared" si="67"/>
        <v>0</v>
      </c>
      <c r="AN35" s="141">
        <f t="shared" si="67"/>
        <v>0</v>
      </c>
      <c r="AO35" s="142">
        <f t="shared" si="67"/>
        <v>0</v>
      </c>
      <c r="AP35" s="141">
        <f t="shared" si="67"/>
        <v>0</v>
      </c>
      <c r="AQ35" s="141">
        <f t="shared" si="67"/>
        <v>0</v>
      </c>
      <c r="AR35" s="141">
        <f t="shared" si="67"/>
        <v>0</v>
      </c>
      <c r="AS35" s="141">
        <f t="shared" si="67"/>
        <v>0</v>
      </c>
      <c r="AT35" s="141">
        <f t="shared" si="67"/>
        <v>0</v>
      </c>
      <c r="AU35" s="258">
        <f t="shared" si="46"/>
        <v>0</v>
      </c>
      <c r="AV35" s="174">
        <v>0</v>
      </c>
      <c r="AW35" s="141">
        <v>0</v>
      </c>
      <c r="AX35" s="141">
        <v>0</v>
      </c>
      <c r="AY35" s="141">
        <v>0</v>
      </c>
      <c r="AZ35" s="141">
        <v>0</v>
      </c>
      <c r="BA35" s="141">
        <v>0</v>
      </c>
      <c r="BB35" s="142">
        <v>0</v>
      </c>
      <c r="BC35" s="141">
        <v>0</v>
      </c>
      <c r="BD35" s="141">
        <v>0</v>
      </c>
      <c r="BE35" s="141">
        <v>0</v>
      </c>
      <c r="BF35" s="141">
        <v>0</v>
      </c>
      <c r="BG35" s="141">
        <v>0</v>
      </c>
      <c r="BH35" s="258">
        <f>SUM(AV35:BG35)</f>
        <v>0</v>
      </c>
      <c r="BI35" s="278">
        <f t="shared" si="38"/>
        <v>0</v>
      </c>
      <c r="BJ35" s="279">
        <f t="shared" si="39"/>
        <v>0</v>
      </c>
      <c r="BK35" s="280">
        <f t="shared" si="40"/>
        <v>0</v>
      </c>
    </row>
    <row r="36" spans="1:63" ht="13.5" thickBot="1">
      <c r="A36" s="38"/>
      <c r="B36" s="38"/>
      <c r="C36" s="38"/>
      <c r="D36" s="38"/>
      <c r="E36" s="38"/>
      <c r="F36" s="38"/>
      <c r="G36" s="3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40"/>
      <c r="AC36" s="36"/>
      <c r="AD36" s="36"/>
      <c r="AE36" s="36"/>
      <c r="AF36" s="36"/>
      <c r="AG36" s="36"/>
      <c r="AH36" s="261"/>
      <c r="AI36" s="36"/>
      <c r="AJ36" s="36"/>
      <c r="AK36" s="36"/>
      <c r="AL36" s="36"/>
      <c r="AM36" s="36"/>
      <c r="AN36" s="36"/>
      <c r="AO36" s="40"/>
      <c r="AP36" s="36"/>
      <c r="AQ36" s="36"/>
      <c r="AR36" s="36"/>
      <c r="AS36" s="36"/>
      <c r="AT36" s="36"/>
      <c r="AU36" s="261"/>
      <c r="AV36" s="36"/>
      <c r="AW36" s="36"/>
      <c r="AX36" s="36"/>
      <c r="AY36" s="36"/>
      <c r="AZ36" s="36"/>
      <c r="BA36" s="36"/>
      <c r="BB36" s="40"/>
      <c r="BC36" s="36"/>
      <c r="BD36" s="36"/>
      <c r="BE36" s="36"/>
      <c r="BF36" s="36"/>
      <c r="BG36" s="36"/>
      <c r="BH36" s="261"/>
      <c r="BI36" s="36"/>
      <c r="BJ36" s="36"/>
      <c r="BK36" s="36"/>
    </row>
    <row r="37" spans="1:63" ht="13.5" thickBot="1">
      <c r="A37" s="175" t="s">
        <v>174</v>
      </c>
      <c r="B37" s="176"/>
      <c r="C37" s="176"/>
      <c r="D37" s="176"/>
      <c r="E37" s="176"/>
      <c r="F37" s="176"/>
      <c r="G37" s="177" t="s">
        <v>175</v>
      </c>
      <c r="H37" s="178">
        <f aca="true" t="shared" si="68" ref="H37:AI37">H41+H55</f>
        <v>134059349000</v>
      </c>
      <c r="I37" s="179">
        <f t="shared" si="68"/>
        <v>0</v>
      </c>
      <c r="J37" s="179">
        <f t="shared" si="68"/>
        <v>0</v>
      </c>
      <c r="K37" s="179">
        <f t="shared" si="68"/>
        <v>0</v>
      </c>
      <c r="L37" s="179">
        <f t="shared" si="68"/>
        <v>0</v>
      </c>
      <c r="M37" s="179">
        <f t="shared" si="68"/>
        <v>840300000</v>
      </c>
      <c r="N37" s="180">
        <f t="shared" si="68"/>
        <v>134899649000</v>
      </c>
      <c r="O37" s="178">
        <f t="shared" si="68"/>
        <v>134059349000</v>
      </c>
      <c r="P37" s="179">
        <f t="shared" si="68"/>
        <v>0</v>
      </c>
      <c r="Q37" s="179">
        <f t="shared" si="68"/>
        <v>0</v>
      </c>
      <c r="R37" s="179">
        <f t="shared" si="68"/>
        <v>0</v>
      </c>
      <c r="S37" s="179">
        <f t="shared" si="68"/>
        <v>0</v>
      </c>
      <c r="T37" s="179">
        <f t="shared" si="68"/>
        <v>840300000</v>
      </c>
      <c r="U37" s="180">
        <f t="shared" si="68"/>
        <v>134899649000</v>
      </c>
      <c r="V37" s="178">
        <f t="shared" si="68"/>
        <v>123081349000</v>
      </c>
      <c r="W37" s="179">
        <f t="shared" si="68"/>
        <v>28685800</v>
      </c>
      <c r="X37" s="179">
        <f t="shared" si="68"/>
        <v>128451642</v>
      </c>
      <c r="Y37" s="179">
        <f t="shared" si="68"/>
        <v>149350210</v>
      </c>
      <c r="Z37" s="179">
        <f t="shared" si="68"/>
        <v>532005065</v>
      </c>
      <c r="AA37" s="179">
        <f t="shared" si="68"/>
        <v>554161990</v>
      </c>
      <c r="AB37" s="181">
        <f t="shared" si="68"/>
        <v>342462983</v>
      </c>
      <c r="AC37" s="179">
        <f t="shared" si="68"/>
        <v>-86686048</v>
      </c>
      <c r="AD37" s="179">
        <f t="shared" si="68"/>
        <v>-3027658</v>
      </c>
      <c r="AE37" s="179">
        <f t="shared" si="68"/>
        <v>0</v>
      </c>
      <c r="AF37" s="179">
        <f t="shared" si="68"/>
        <v>65195000</v>
      </c>
      <c r="AG37" s="179">
        <f t="shared" si="68"/>
        <v>-10606080591</v>
      </c>
      <c r="AH37" s="180">
        <f t="shared" si="68"/>
        <v>114185867393</v>
      </c>
      <c r="AI37" s="178">
        <f t="shared" si="68"/>
        <v>20128104</v>
      </c>
      <c r="AJ37" s="179">
        <f aca="true" t="shared" si="69" ref="AJ37:AT37">AJ41+AJ55</f>
        <v>6387516037</v>
      </c>
      <c r="AK37" s="179">
        <f t="shared" si="69"/>
        <v>12078376575</v>
      </c>
      <c r="AL37" s="179">
        <f t="shared" si="69"/>
        <v>11289308738</v>
      </c>
      <c r="AM37" s="179">
        <f t="shared" si="69"/>
        <v>4757277336</v>
      </c>
      <c r="AN37" s="179">
        <f t="shared" si="69"/>
        <v>8899405453</v>
      </c>
      <c r="AO37" s="181">
        <f t="shared" si="69"/>
        <v>12615117717</v>
      </c>
      <c r="AP37" s="179">
        <f t="shared" si="69"/>
        <v>9760116997</v>
      </c>
      <c r="AQ37" s="179">
        <f t="shared" si="69"/>
        <v>12863027637</v>
      </c>
      <c r="AR37" s="179">
        <f t="shared" si="69"/>
        <v>10568267532</v>
      </c>
      <c r="AS37" s="179">
        <f t="shared" si="69"/>
        <v>4886054941</v>
      </c>
      <c r="AT37" s="179">
        <f t="shared" si="69"/>
        <v>18499274041</v>
      </c>
      <c r="AU37" s="180">
        <f aca="true" t="shared" si="70" ref="AU37:BK37">AU41+AU55</f>
        <v>112623871108</v>
      </c>
      <c r="AV37" s="178">
        <f t="shared" si="70"/>
        <v>20128104</v>
      </c>
      <c r="AW37" s="179">
        <f t="shared" si="70"/>
        <v>6387516037</v>
      </c>
      <c r="AX37" s="179">
        <f t="shared" si="70"/>
        <v>12078376575</v>
      </c>
      <c r="AY37" s="179">
        <f t="shared" si="70"/>
        <v>11289308738</v>
      </c>
      <c r="AZ37" s="179">
        <f t="shared" si="70"/>
        <v>4757277336</v>
      </c>
      <c r="BA37" s="179">
        <f t="shared" si="70"/>
        <v>8899405453</v>
      </c>
      <c r="BB37" s="181">
        <f t="shared" si="70"/>
        <v>12615117717</v>
      </c>
      <c r="BC37" s="179">
        <f t="shared" si="70"/>
        <v>9760116997</v>
      </c>
      <c r="BD37" s="179">
        <f t="shared" si="70"/>
        <v>12863027637</v>
      </c>
      <c r="BE37" s="179">
        <f t="shared" si="70"/>
        <v>10568267532</v>
      </c>
      <c r="BF37" s="179">
        <f t="shared" si="70"/>
        <v>4886054941</v>
      </c>
      <c r="BG37" s="179">
        <f t="shared" si="70"/>
        <v>10045390559</v>
      </c>
      <c r="BH37" s="180">
        <f t="shared" si="70"/>
        <v>104169987626</v>
      </c>
      <c r="BI37" s="178">
        <f t="shared" si="70"/>
        <v>20713781607</v>
      </c>
      <c r="BJ37" s="246">
        <f t="shared" si="70"/>
        <v>1561996285</v>
      </c>
      <c r="BK37" s="180">
        <f t="shared" si="70"/>
        <v>8453883482</v>
      </c>
    </row>
    <row r="38" spans="1:63" ht="13.5" thickBot="1">
      <c r="A38" s="38"/>
      <c r="B38" s="38"/>
      <c r="C38" s="38"/>
      <c r="D38" s="38"/>
      <c r="E38" s="38"/>
      <c r="F38" s="38"/>
      <c r="G38" s="39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40"/>
      <c r="AC38" s="36"/>
      <c r="AD38" s="36"/>
      <c r="AE38" s="36"/>
      <c r="AF38" s="36"/>
      <c r="AG38" s="36"/>
      <c r="AH38" s="261"/>
      <c r="AI38" s="36"/>
      <c r="AJ38" s="36"/>
      <c r="AK38" s="36"/>
      <c r="AL38" s="36"/>
      <c r="AM38" s="36"/>
      <c r="AN38" s="36"/>
      <c r="AO38" s="40"/>
      <c r="AP38" s="36"/>
      <c r="AQ38" s="36"/>
      <c r="AR38" s="36"/>
      <c r="AS38" s="36"/>
      <c r="AT38" s="36"/>
      <c r="AU38" s="261"/>
      <c r="AV38" s="36"/>
      <c r="AW38" s="36"/>
      <c r="AX38" s="36"/>
      <c r="AY38" s="36"/>
      <c r="AZ38" s="36"/>
      <c r="BA38" s="36"/>
      <c r="BB38" s="40"/>
      <c r="BC38" s="36"/>
      <c r="BD38" s="36"/>
      <c r="BE38" s="36"/>
      <c r="BF38" s="36"/>
      <c r="BG38" s="36"/>
      <c r="BH38" s="261"/>
      <c r="BI38" s="36"/>
      <c r="BJ38" s="36"/>
      <c r="BK38" s="36"/>
    </row>
    <row r="39" spans="1:63" ht="13.5" thickBot="1">
      <c r="A39" s="124" t="s">
        <v>130</v>
      </c>
      <c r="B39" s="125"/>
      <c r="C39" s="125"/>
      <c r="D39" s="125"/>
      <c r="E39" s="125"/>
      <c r="F39" s="125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8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127"/>
      <c r="BD39" s="127"/>
      <c r="BE39" s="127"/>
      <c r="BF39" s="127"/>
      <c r="BG39" s="127"/>
      <c r="BH39" s="127"/>
      <c r="BI39" s="127"/>
      <c r="BJ39" s="127"/>
      <c r="BK39" s="129"/>
    </row>
    <row r="40" spans="1:63" ht="13.5" thickBot="1">
      <c r="A40" s="38"/>
      <c r="B40" s="38"/>
      <c r="C40" s="38"/>
      <c r="D40" s="38"/>
      <c r="E40" s="38"/>
      <c r="F40" s="38"/>
      <c r="G40" s="39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40"/>
      <c r="AC40" s="36"/>
      <c r="AD40" s="36"/>
      <c r="AE40" s="36"/>
      <c r="AF40" s="36"/>
      <c r="AG40" s="36"/>
      <c r="AH40" s="261"/>
      <c r="AI40" s="36"/>
      <c r="AJ40" s="36"/>
      <c r="AK40" s="36"/>
      <c r="AL40" s="36"/>
      <c r="AM40" s="36"/>
      <c r="AN40" s="36"/>
      <c r="AO40" s="40"/>
      <c r="AP40" s="36"/>
      <c r="AQ40" s="36"/>
      <c r="AR40" s="36"/>
      <c r="AS40" s="36"/>
      <c r="AT40" s="36"/>
      <c r="AU40" s="261"/>
      <c r="AV40" s="36"/>
      <c r="AW40" s="36"/>
      <c r="AX40" s="36"/>
      <c r="AY40" s="36"/>
      <c r="AZ40" s="36"/>
      <c r="BA40" s="36"/>
      <c r="BB40" s="40"/>
      <c r="BC40" s="36"/>
      <c r="BD40" s="36"/>
      <c r="BE40" s="36"/>
      <c r="BF40" s="36"/>
      <c r="BG40" s="36"/>
      <c r="BH40" s="261"/>
      <c r="BI40" s="36"/>
      <c r="BJ40" s="36"/>
      <c r="BK40" s="36"/>
    </row>
    <row r="41" spans="1:63" ht="30.75" customHeight="1" thickBot="1">
      <c r="A41" s="175" t="s">
        <v>174</v>
      </c>
      <c r="B41" s="176" t="s">
        <v>132</v>
      </c>
      <c r="C41" s="176" t="s">
        <v>132</v>
      </c>
      <c r="D41" s="176" t="s">
        <v>132</v>
      </c>
      <c r="E41" s="176" t="s">
        <v>132</v>
      </c>
      <c r="F41" s="176" t="s">
        <v>132</v>
      </c>
      <c r="G41" s="199" t="s">
        <v>176</v>
      </c>
      <c r="H41" s="178">
        <f>H42+H44+H46</f>
        <v>111177349000</v>
      </c>
      <c r="I41" s="179">
        <f aca="true" t="shared" si="71" ref="I41:BK41">I42+I44+I46</f>
        <v>0</v>
      </c>
      <c r="J41" s="179">
        <f t="shared" si="71"/>
        <v>0</v>
      </c>
      <c r="K41" s="179">
        <f t="shared" si="71"/>
        <v>0</v>
      </c>
      <c r="L41" s="179">
        <f t="shared" si="71"/>
        <v>0</v>
      </c>
      <c r="M41" s="179">
        <f t="shared" si="71"/>
        <v>840300000</v>
      </c>
      <c r="N41" s="180">
        <f t="shared" si="71"/>
        <v>112017649000</v>
      </c>
      <c r="O41" s="178">
        <f t="shared" si="71"/>
        <v>111177349000</v>
      </c>
      <c r="P41" s="179">
        <f t="shared" si="71"/>
        <v>0</v>
      </c>
      <c r="Q41" s="179">
        <f t="shared" si="71"/>
        <v>0</v>
      </c>
      <c r="R41" s="179">
        <f t="shared" si="71"/>
        <v>0</v>
      </c>
      <c r="S41" s="179">
        <f t="shared" si="71"/>
        <v>0</v>
      </c>
      <c r="T41" s="179">
        <f t="shared" si="71"/>
        <v>840300000</v>
      </c>
      <c r="U41" s="180">
        <f t="shared" si="71"/>
        <v>112017649000</v>
      </c>
      <c r="V41" s="178">
        <f t="shared" si="71"/>
        <v>109177349000</v>
      </c>
      <c r="W41" s="179">
        <f t="shared" si="71"/>
        <v>28685800</v>
      </c>
      <c r="X41" s="179">
        <f t="shared" si="71"/>
        <v>128451642</v>
      </c>
      <c r="Y41" s="179">
        <f t="shared" si="71"/>
        <v>149350210</v>
      </c>
      <c r="Z41" s="179">
        <f t="shared" si="71"/>
        <v>532005065</v>
      </c>
      <c r="AA41" s="179">
        <f t="shared" si="71"/>
        <v>554161990</v>
      </c>
      <c r="AB41" s="181">
        <f t="shared" si="71"/>
        <v>342462983</v>
      </c>
      <c r="AC41" s="179">
        <f t="shared" si="71"/>
        <v>-86686048</v>
      </c>
      <c r="AD41" s="179">
        <f t="shared" si="71"/>
        <v>-3027658</v>
      </c>
      <c r="AE41" s="179">
        <f t="shared" si="71"/>
        <v>0</v>
      </c>
      <c r="AF41" s="179">
        <f t="shared" si="71"/>
        <v>65195000</v>
      </c>
      <c r="AG41" s="179">
        <f t="shared" si="71"/>
        <v>-10559374908</v>
      </c>
      <c r="AH41" s="180">
        <f t="shared" si="71"/>
        <v>100328573076</v>
      </c>
      <c r="AI41" s="178">
        <f t="shared" si="71"/>
        <v>20128104</v>
      </c>
      <c r="AJ41" s="179">
        <f aca="true" t="shared" si="72" ref="AJ41:AT41">AJ42+AJ44+AJ46</f>
        <v>5397707608</v>
      </c>
      <c r="AK41" s="179">
        <f t="shared" si="72"/>
        <v>10634413607</v>
      </c>
      <c r="AL41" s="179">
        <f t="shared" si="72"/>
        <v>11252016218</v>
      </c>
      <c r="AM41" s="179">
        <f t="shared" si="72"/>
        <v>4391538794</v>
      </c>
      <c r="AN41" s="179">
        <f t="shared" si="72"/>
        <v>8758139217</v>
      </c>
      <c r="AO41" s="181">
        <f t="shared" si="72"/>
        <v>10964239861</v>
      </c>
      <c r="AP41" s="179">
        <f t="shared" si="72"/>
        <v>9726526092</v>
      </c>
      <c r="AQ41" s="179">
        <f t="shared" si="72"/>
        <v>12861791637</v>
      </c>
      <c r="AR41" s="179">
        <f t="shared" si="72"/>
        <v>10568267532</v>
      </c>
      <c r="AS41" s="179">
        <f t="shared" si="72"/>
        <v>4385746941</v>
      </c>
      <c r="AT41" s="179">
        <f t="shared" si="72"/>
        <v>9806061180</v>
      </c>
      <c r="AU41" s="180">
        <f t="shared" si="71"/>
        <v>98766576791</v>
      </c>
      <c r="AV41" s="178">
        <f t="shared" si="71"/>
        <v>20128104</v>
      </c>
      <c r="AW41" s="179">
        <f t="shared" si="71"/>
        <v>5397707608</v>
      </c>
      <c r="AX41" s="179">
        <f t="shared" si="71"/>
        <v>10634413607</v>
      </c>
      <c r="AY41" s="179">
        <f t="shared" si="71"/>
        <v>11252016218</v>
      </c>
      <c r="AZ41" s="179">
        <f t="shared" si="71"/>
        <v>4391538794</v>
      </c>
      <c r="BA41" s="179">
        <f t="shared" si="71"/>
        <v>8758139217</v>
      </c>
      <c r="BB41" s="181">
        <f t="shared" si="71"/>
        <v>10964239861</v>
      </c>
      <c r="BC41" s="179">
        <f t="shared" si="71"/>
        <v>9726526092</v>
      </c>
      <c r="BD41" s="179">
        <f t="shared" si="71"/>
        <v>12861791637</v>
      </c>
      <c r="BE41" s="179">
        <f t="shared" si="71"/>
        <v>10568267532</v>
      </c>
      <c r="BF41" s="179">
        <f t="shared" si="71"/>
        <v>4385746941</v>
      </c>
      <c r="BG41" s="179">
        <f t="shared" si="71"/>
        <v>8445754828</v>
      </c>
      <c r="BH41" s="180">
        <f t="shared" si="71"/>
        <v>97406270439</v>
      </c>
      <c r="BI41" s="179">
        <f t="shared" si="71"/>
        <v>11689075924</v>
      </c>
      <c r="BJ41" s="247">
        <f t="shared" si="71"/>
        <v>1561996285</v>
      </c>
      <c r="BK41" s="180">
        <f t="shared" si="71"/>
        <v>1360306352</v>
      </c>
    </row>
    <row r="42" spans="1:63" ht="30.75" customHeight="1">
      <c r="A42" s="182" t="s">
        <v>174</v>
      </c>
      <c r="B42" s="183" t="s">
        <v>134</v>
      </c>
      <c r="C42" s="183" t="s">
        <v>177</v>
      </c>
      <c r="D42" s="183" t="s">
        <v>132</v>
      </c>
      <c r="E42" s="183" t="s">
        <v>132</v>
      </c>
      <c r="F42" s="183" t="s">
        <v>132</v>
      </c>
      <c r="G42" s="200" t="s">
        <v>178</v>
      </c>
      <c r="H42" s="186">
        <f>H43</f>
        <v>1500000000</v>
      </c>
      <c r="I42" s="187">
        <f aca="true" t="shared" si="73" ref="I42:BK42">I43</f>
        <v>0</v>
      </c>
      <c r="J42" s="187">
        <f t="shared" si="73"/>
        <v>0</v>
      </c>
      <c r="K42" s="187">
        <f t="shared" si="73"/>
        <v>0</v>
      </c>
      <c r="L42" s="187">
        <f t="shared" si="73"/>
        <v>0</v>
      </c>
      <c r="M42" s="187">
        <f t="shared" si="73"/>
        <v>840300000</v>
      </c>
      <c r="N42" s="188">
        <f t="shared" si="73"/>
        <v>2340300000</v>
      </c>
      <c r="O42" s="186">
        <f t="shared" si="73"/>
        <v>1500000000</v>
      </c>
      <c r="P42" s="187">
        <f t="shared" si="73"/>
        <v>0</v>
      </c>
      <c r="Q42" s="187">
        <f t="shared" si="73"/>
        <v>0</v>
      </c>
      <c r="R42" s="187">
        <f t="shared" si="73"/>
        <v>0</v>
      </c>
      <c r="S42" s="187">
        <f t="shared" si="73"/>
        <v>0</v>
      </c>
      <c r="T42" s="187">
        <f t="shared" si="73"/>
        <v>840300000</v>
      </c>
      <c r="U42" s="188">
        <f t="shared" si="73"/>
        <v>2340300000</v>
      </c>
      <c r="V42" s="186">
        <f t="shared" si="73"/>
        <v>0</v>
      </c>
      <c r="W42" s="187">
        <f t="shared" si="73"/>
        <v>28685800</v>
      </c>
      <c r="X42" s="187">
        <f t="shared" si="73"/>
        <v>128451642</v>
      </c>
      <c r="Y42" s="187">
        <f t="shared" si="73"/>
        <v>149350210</v>
      </c>
      <c r="Z42" s="187">
        <f t="shared" si="73"/>
        <v>532005065</v>
      </c>
      <c r="AA42" s="187">
        <f t="shared" si="73"/>
        <v>54161990</v>
      </c>
      <c r="AB42" s="189">
        <f t="shared" si="73"/>
        <v>342462983</v>
      </c>
      <c r="AC42" s="187">
        <f t="shared" si="73"/>
        <v>-86686048</v>
      </c>
      <c r="AD42" s="187">
        <f t="shared" si="73"/>
        <v>-3027658</v>
      </c>
      <c r="AE42" s="187">
        <f t="shared" si="73"/>
        <v>0</v>
      </c>
      <c r="AF42" s="187">
        <f t="shared" si="73"/>
        <v>65195000</v>
      </c>
      <c r="AG42" s="187">
        <f t="shared" si="73"/>
        <v>1049535040</v>
      </c>
      <c r="AH42" s="188">
        <f t="shared" si="73"/>
        <v>2260134024</v>
      </c>
      <c r="AI42" s="186">
        <f t="shared" si="73"/>
        <v>0</v>
      </c>
      <c r="AJ42" s="187">
        <f t="shared" si="73"/>
        <v>0</v>
      </c>
      <c r="AK42" s="187">
        <f t="shared" si="73"/>
        <v>0</v>
      </c>
      <c r="AL42" s="187">
        <f t="shared" si="73"/>
        <v>31049807</v>
      </c>
      <c r="AM42" s="187">
        <f t="shared" si="73"/>
        <v>42717570</v>
      </c>
      <c r="AN42" s="187">
        <f t="shared" si="73"/>
        <v>68905494</v>
      </c>
      <c r="AO42" s="189">
        <f t="shared" si="73"/>
        <v>19335141</v>
      </c>
      <c r="AP42" s="187">
        <f t="shared" si="73"/>
        <v>418081880</v>
      </c>
      <c r="AQ42" s="187">
        <f t="shared" si="73"/>
        <v>88923970</v>
      </c>
      <c r="AR42" s="187">
        <f t="shared" si="73"/>
        <v>96395729</v>
      </c>
      <c r="AS42" s="187">
        <f t="shared" si="73"/>
        <v>81842060</v>
      </c>
      <c r="AT42" s="187">
        <f t="shared" si="73"/>
        <v>1412882373</v>
      </c>
      <c r="AU42" s="188">
        <f t="shared" si="73"/>
        <v>2260134024</v>
      </c>
      <c r="AV42" s="186">
        <f t="shared" si="73"/>
        <v>0</v>
      </c>
      <c r="AW42" s="187">
        <f t="shared" si="73"/>
        <v>0</v>
      </c>
      <c r="AX42" s="187">
        <f t="shared" si="73"/>
        <v>0</v>
      </c>
      <c r="AY42" s="187">
        <f t="shared" si="73"/>
        <v>31049807</v>
      </c>
      <c r="AZ42" s="187">
        <f t="shared" si="73"/>
        <v>42717570</v>
      </c>
      <c r="BA42" s="187">
        <f t="shared" si="73"/>
        <v>68905494</v>
      </c>
      <c r="BB42" s="189">
        <f t="shared" si="73"/>
        <v>19335141</v>
      </c>
      <c r="BC42" s="187">
        <f t="shared" si="73"/>
        <v>418081880</v>
      </c>
      <c r="BD42" s="187">
        <f t="shared" si="73"/>
        <v>88923970</v>
      </c>
      <c r="BE42" s="187">
        <f t="shared" si="73"/>
        <v>96395729</v>
      </c>
      <c r="BF42" s="187">
        <f t="shared" si="73"/>
        <v>81842060</v>
      </c>
      <c r="BG42" s="187">
        <f t="shared" si="73"/>
        <v>52576021</v>
      </c>
      <c r="BH42" s="188">
        <f t="shared" si="73"/>
        <v>899827672</v>
      </c>
      <c r="BI42" s="281">
        <f t="shared" si="73"/>
        <v>80165976</v>
      </c>
      <c r="BJ42" s="282">
        <f t="shared" si="73"/>
        <v>0</v>
      </c>
      <c r="BK42" s="274">
        <f t="shared" si="73"/>
        <v>1360306352</v>
      </c>
    </row>
    <row r="43" spans="1:63" ht="30.75" customHeight="1">
      <c r="A43" s="136" t="s">
        <v>174</v>
      </c>
      <c r="B43" s="130" t="s">
        <v>134</v>
      </c>
      <c r="C43" s="130" t="s">
        <v>177</v>
      </c>
      <c r="D43" s="130" t="s">
        <v>179</v>
      </c>
      <c r="E43" s="130" t="s">
        <v>142</v>
      </c>
      <c r="F43" s="130" t="s">
        <v>138</v>
      </c>
      <c r="G43" s="287" t="s">
        <v>180</v>
      </c>
      <c r="H43" s="173">
        <f>U43-SUM(I43:M43)</f>
        <v>1500000000</v>
      </c>
      <c r="I43" s="132">
        <v>0</v>
      </c>
      <c r="J43" s="132">
        <v>0</v>
      </c>
      <c r="K43" s="132">
        <v>0</v>
      </c>
      <c r="L43" s="132">
        <v>0</v>
      </c>
      <c r="M43" s="132">
        <v>840300000</v>
      </c>
      <c r="N43" s="257">
        <f>SUM(H43:M43)</f>
        <v>2340300000</v>
      </c>
      <c r="O43" s="173">
        <v>1500000000</v>
      </c>
      <c r="P43" s="132">
        <v>0</v>
      </c>
      <c r="Q43" s="132">
        <v>0</v>
      </c>
      <c r="R43" s="132">
        <v>0</v>
      </c>
      <c r="S43" s="132">
        <v>0</v>
      </c>
      <c r="T43" s="132">
        <v>840300000</v>
      </c>
      <c r="U43" s="257">
        <f>SUM(O43:T43)</f>
        <v>2340300000</v>
      </c>
      <c r="V43" s="173">
        <v>0</v>
      </c>
      <c r="W43" s="132">
        <v>28685800</v>
      </c>
      <c r="X43" s="132">
        <v>128451642</v>
      </c>
      <c r="Y43" s="132">
        <v>149350210</v>
      </c>
      <c r="Z43" s="132">
        <v>532005065</v>
      </c>
      <c r="AA43" s="132">
        <v>54161990</v>
      </c>
      <c r="AB43" s="133">
        <v>342462983</v>
      </c>
      <c r="AC43" s="132">
        <v>-86686048</v>
      </c>
      <c r="AD43" s="132">
        <v>-3027658</v>
      </c>
      <c r="AE43" s="132">
        <v>0</v>
      </c>
      <c r="AF43" s="132">
        <v>65195000</v>
      </c>
      <c r="AG43" s="132">
        <f>1049533040+2000</f>
        <v>1049535040</v>
      </c>
      <c r="AH43" s="257">
        <f>SUM(V43:AG43)</f>
        <v>2260134024</v>
      </c>
      <c r="AI43" s="173">
        <f aca="true" t="shared" si="74" ref="AI43:AI49">AV43</f>
        <v>0</v>
      </c>
      <c r="AJ43" s="132">
        <f aca="true" t="shared" si="75" ref="AJ43:AS43">AW43</f>
        <v>0</v>
      </c>
      <c r="AK43" s="132">
        <f t="shared" si="75"/>
        <v>0</v>
      </c>
      <c r="AL43" s="132">
        <f t="shared" si="75"/>
        <v>31049807</v>
      </c>
      <c r="AM43" s="132">
        <f t="shared" si="75"/>
        <v>42717570</v>
      </c>
      <c r="AN43" s="132">
        <f t="shared" si="75"/>
        <v>68905494</v>
      </c>
      <c r="AO43" s="133">
        <f t="shared" si="75"/>
        <v>19335141</v>
      </c>
      <c r="AP43" s="132">
        <f t="shared" si="75"/>
        <v>418081880</v>
      </c>
      <c r="AQ43" s="132">
        <f t="shared" si="75"/>
        <v>88923970</v>
      </c>
      <c r="AR43" s="132">
        <f t="shared" si="75"/>
        <v>96395729</v>
      </c>
      <c r="AS43" s="132">
        <f t="shared" si="75"/>
        <v>81842060</v>
      </c>
      <c r="AT43" s="132">
        <f>AH43-SUM(AI43:AS43)</f>
        <v>1412882373</v>
      </c>
      <c r="AU43" s="257">
        <f>SUM(AI43:AT43)</f>
        <v>2260134024</v>
      </c>
      <c r="AV43" s="173">
        <v>0</v>
      </c>
      <c r="AW43" s="132">
        <v>0</v>
      </c>
      <c r="AX43" s="132">
        <v>0</v>
      </c>
      <c r="AY43" s="132">
        <v>31049807</v>
      </c>
      <c r="AZ43" s="132">
        <v>42717570</v>
      </c>
      <c r="BA43" s="132">
        <v>68905494</v>
      </c>
      <c r="BB43" s="133">
        <v>19335141</v>
      </c>
      <c r="BC43" s="132">
        <v>418081880</v>
      </c>
      <c r="BD43" s="132">
        <v>88923970</v>
      </c>
      <c r="BE43" s="132">
        <v>96395729</v>
      </c>
      <c r="BF43" s="132">
        <v>81842060</v>
      </c>
      <c r="BG43" s="132">
        <v>52576021</v>
      </c>
      <c r="BH43" s="257">
        <f>SUM(AV43:BG43)</f>
        <v>899827672</v>
      </c>
      <c r="BI43" s="283">
        <f>U43-AH43</f>
        <v>80165976</v>
      </c>
      <c r="BJ43" s="284">
        <f>AH43-AU43</f>
        <v>0</v>
      </c>
      <c r="BK43" s="277">
        <f>AU43-BH43</f>
        <v>1360306352</v>
      </c>
    </row>
    <row r="44" spans="1:63" ht="30.75" customHeight="1">
      <c r="A44" s="182" t="s">
        <v>174</v>
      </c>
      <c r="B44" s="183" t="s">
        <v>134</v>
      </c>
      <c r="C44" s="183" t="s">
        <v>181</v>
      </c>
      <c r="D44" s="183" t="s">
        <v>132</v>
      </c>
      <c r="E44" s="183" t="s">
        <v>132</v>
      </c>
      <c r="F44" s="183" t="s">
        <v>132</v>
      </c>
      <c r="G44" s="200" t="s">
        <v>182</v>
      </c>
      <c r="H44" s="186">
        <f>H45</f>
        <v>0</v>
      </c>
      <c r="I44" s="187">
        <f aca="true" t="shared" si="76" ref="I44:BK44">I45</f>
        <v>0</v>
      </c>
      <c r="J44" s="187">
        <f t="shared" si="76"/>
        <v>0</v>
      </c>
      <c r="K44" s="187">
        <f t="shared" si="76"/>
        <v>0</v>
      </c>
      <c r="L44" s="187">
        <f t="shared" si="76"/>
        <v>0</v>
      </c>
      <c r="M44" s="187">
        <f t="shared" si="76"/>
        <v>0</v>
      </c>
      <c r="N44" s="188">
        <f t="shared" si="76"/>
        <v>0</v>
      </c>
      <c r="O44" s="186">
        <f t="shared" si="76"/>
        <v>0</v>
      </c>
      <c r="P44" s="187">
        <f t="shared" si="76"/>
        <v>0</v>
      </c>
      <c r="Q44" s="187">
        <f t="shared" si="76"/>
        <v>0</v>
      </c>
      <c r="R44" s="187">
        <f t="shared" si="76"/>
        <v>0</v>
      </c>
      <c r="S44" s="187">
        <f t="shared" si="76"/>
        <v>0</v>
      </c>
      <c r="T44" s="187">
        <f t="shared" si="76"/>
        <v>0</v>
      </c>
      <c r="U44" s="188">
        <f t="shared" si="76"/>
        <v>0</v>
      </c>
      <c r="V44" s="186">
        <f t="shared" si="76"/>
        <v>0</v>
      </c>
      <c r="W44" s="187">
        <f t="shared" si="76"/>
        <v>0</v>
      </c>
      <c r="X44" s="187">
        <f t="shared" si="76"/>
        <v>0</v>
      </c>
      <c r="Y44" s="187">
        <f t="shared" si="76"/>
        <v>0</v>
      </c>
      <c r="Z44" s="187">
        <f t="shared" si="76"/>
        <v>0</v>
      </c>
      <c r="AA44" s="187">
        <f t="shared" si="76"/>
        <v>0</v>
      </c>
      <c r="AB44" s="189">
        <f t="shared" si="76"/>
        <v>0</v>
      </c>
      <c r="AC44" s="187">
        <f t="shared" si="76"/>
        <v>0</v>
      </c>
      <c r="AD44" s="187">
        <f t="shared" si="76"/>
        <v>0</v>
      </c>
      <c r="AE44" s="187">
        <f t="shared" si="76"/>
        <v>0</v>
      </c>
      <c r="AF44" s="187">
        <f t="shared" si="76"/>
        <v>0</v>
      </c>
      <c r="AG44" s="187">
        <f t="shared" si="76"/>
        <v>0</v>
      </c>
      <c r="AH44" s="188">
        <f t="shared" si="76"/>
        <v>0</v>
      </c>
      <c r="AI44" s="186">
        <f t="shared" si="76"/>
        <v>0</v>
      </c>
      <c r="AJ44" s="187">
        <f t="shared" si="76"/>
        <v>0</v>
      </c>
      <c r="AK44" s="187">
        <f t="shared" si="76"/>
        <v>0</v>
      </c>
      <c r="AL44" s="187">
        <f t="shared" si="76"/>
        <v>0</v>
      </c>
      <c r="AM44" s="187">
        <f t="shared" si="76"/>
        <v>0</v>
      </c>
      <c r="AN44" s="187">
        <f t="shared" si="76"/>
        <v>0</v>
      </c>
      <c r="AO44" s="189">
        <f t="shared" si="76"/>
        <v>0</v>
      </c>
      <c r="AP44" s="187">
        <f t="shared" si="76"/>
        <v>0</v>
      </c>
      <c r="AQ44" s="187">
        <f t="shared" si="76"/>
        <v>0</v>
      </c>
      <c r="AR44" s="187">
        <f t="shared" si="76"/>
        <v>0</v>
      </c>
      <c r="AS44" s="187">
        <f t="shared" si="76"/>
        <v>0</v>
      </c>
      <c r="AT44" s="187">
        <f t="shared" si="76"/>
        <v>0</v>
      </c>
      <c r="AU44" s="188">
        <f t="shared" si="76"/>
        <v>0</v>
      </c>
      <c r="AV44" s="186">
        <f t="shared" si="76"/>
        <v>0</v>
      </c>
      <c r="AW44" s="187">
        <f t="shared" si="76"/>
        <v>0</v>
      </c>
      <c r="AX44" s="187">
        <f t="shared" si="76"/>
        <v>0</v>
      </c>
      <c r="AY44" s="187">
        <f t="shared" si="76"/>
        <v>0</v>
      </c>
      <c r="AZ44" s="187">
        <f t="shared" si="76"/>
        <v>0</v>
      </c>
      <c r="BA44" s="187">
        <f t="shared" si="76"/>
        <v>0</v>
      </c>
      <c r="BB44" s="189">
        <f t="shared" si="76"/>
        <v>0</v>
      </c>
      <c r="BC44" s="187">
        <f t="shared" si="76"/>
        <v>0</v>
      </c>
      <c r="BD44" s="187">
        <f t="shared" si="76"/>
        <v>0</v>
      </c>
      <c r="BE44" s="187">
        <f t="shared" si="76"/>
        <v>0</v>
      </c>
      <c r="BF44" s="187">
        <f t="shared" si="76"/>
        <v>0</v>
      </c>
      <c r="BG44" s="187">
        <f t="shared" si="76"/>
        <v>0</v>
      </c>
      <c r="BH44" s="188">
        <f t="shared" si="76"/>
        <v>0</v>
      </c>
      <c r="BI44" s="281">
        <f t="shared" si="76"/>
        <v>0</v>
      </c>
      <c r="BJ44" s="282">
        <f t="shared" si="76"/>
        <v>0</v>
      </c>
      <c r="BK44" s="274">
        <f t="shared" si="76"/>
        <v>0</v>
      </c>
    </row>
    <row r="45" spans="1:63" ht="30.75" customHeight="1">
      <c r="A45" s="136" t="s">
        <v>174</v>
      </c>
      <c r="B45" s="130" t="s">
        <v>134</v>
      </c>
      <c r="C45" s="130" t="s">
        <v>181</v>
      </c>
      <c r="D45" s="130" t="s">
        <v>183</v>
      </c>
      <c r="E45" s="130" t="s">
        <v>135</v>
      </c>
      <c r="F45" s="130" t="s">
        <v>138</v>
      </c>
      <c r="G45" s="287" t="s">
        <v>184</v>
      </c>
      <c r="H45" s="173">
        <f>U45-SUM(I45:M45)</f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257">
        <f>SUM(H45:M45)</f>
        <v>0</v>
      </c>
      <c r="O45" s="173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257">
        <f>SUM(O45:T45)</f>
        <v>0</v>
      </c>
      <c r="V45" s="173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3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257">
        <f>SUM(V45:AG45)</f>
        <v>0</v>
      </c>
      <c r="AI45" s="173">
        <f t="shared" si="74"/>
        <v>0</v>
      </c>
      <c r="AJ45" s="132">
        <f aca="true" t="shared" si="77" ref="AJ45:AT45">AW45</f>
        <v>0</v>
      </c>
      <c r="AK45" s="132">
        <f t="shared" si="77"/>
        <v>0</v>
      </c>
      <c r="AL45" s="132">
        <f t="shared" si="77"/>
        <v>0</v>
      </c>
      <c r="AM45" s="132">
        <f t="shared" si="77"/>
        <v>0</v>
      </c>
      <c r="AN45" s="132">
        <f t="shared" si="77"/>
        <v>0</v>
      </c>
      <c r="AO45" s="133">
        <f t="shared" si="77"/>
        <v>0</v>
      </c>
      <c r="AP45" s="132">
        <f t="shared" si="77"/>
        <v>0</v>
      </c>
      <c r="AQ45" s="132">
        <f t="shared" si="77"/>
        <v>0</v>
      </c>
      <c r="AR45" s="132">
        <f t="shared" si="77"/>
        <v>0</v>
      </c>
      <c r="AS45" s="132">
        <f t="shared" si="77"/>
        <v>0</v>
      </c>
      <c r="AT45" s="132">
        <f t="shared" si="77"/>
        <v>0</v>
      </c>
      <c r="AU45" s="257">
        <f>SUM(AI45:AT45)</f>
        <v>0</v>
      </c>
      <c r="AV45" s="173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3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257">
        <f>SUM(AV45:BG45)</f>
        <v>0</v>
      </c>
      <c r="BI45" s="283">
        <f>U45-AH45</f>
        <v>0</v>
      </c>
      <c r="BJ45" s="284">
        <f>AH45-AU45</f>
        <v>0</v>
      </c>
      <c r="BK45" s="277">
        <f>AU45-BH45</f>
        <v>0</v>
      </c>
    </row>
    <row r="46" spans="1:63" ht="30.75" customHeight="1">
      <c r="A46" s="182" t="s">
        <v>174</v>
      </c>
      <c r="B46" s="183" t="s">
        <v>134</v>
      </c>
      <c r="C46" s="183" t="s">
        <v>185</v>
      </c>
      <c r="D46" s="183" t="s">
        <v>132</v>
      </c>
      <c r="E46" s="183" t="s">
        <v>132</v>
      </c>
      <c r="F46" s="183" t="s">
        <v>132</v>
      </c>
      <c r="G46" s="200" t="s">
        <v>186</v>
      </c>
      <c r="H46" s="186">
        <f>SUM(H47:H51)</f>
        <v>109677349000</v>
      </c>
      <c r="I46" s="187">
        <f aca="true" t="shared" si="78" ref="I46:BK46">SUM(I47:I51)</f>
        <v>0</v>
      </c>
      <c r="J46" s="187">
        <f t="shared" si="78"/>
        <v>0</v>
      </c>
      <c r="K46" s="187">
        <f t="shared" si="78"/>
        <v>0</v>
      </c>
      <c r="L46" s="187">
        <f t="shared" si="78"/>
        <v>0</v>
      </c>
      <c r="M46" s="187">
        <f t="shared" si="78"/>
        <v>0</v>
      </c>
      <c r="N46" s="188">
        <f t="shared" si="78"/>
        <v>109677349000</v>
      </c>
      <c r="O46" s="186">
        <f t="shared" si="78"/>
        <v>109677349000</v>
      </c>
      <c r="P46" s="187">
        <f t="shared" si="78"/>
        <v>0</v>
      </c>
      <c r="Q46" s="187">
        <f t="shared" si="78"/>
        <v>0</v>
      </c>
      <c r="R46" s="187">
        <f t="shared" si="78"/>
        <v>0</v>
      </c>
      <c r="S46" s="187">
        <f t="shared" si="78"/>
        <v>0</v>
      </c>
      <c r="T46" s="187">
        <f t="shared" si="78"/>
        <v>0</v>
      </c>
      <c r="U46" s="188">
        <f t="shared" si="78"/>
        <v>109677349000</v>
      </c>
      <c r="V46" s="186">
        <f t="shared" si="78"/>
        <v>109177349000</v>
      </c>
      <c r="W46" s="187">
        <f t="shared" si="78"/>
        <v>0</v>
      </c>
      <c r="X46" s="187">
        <f t="shared" si="78"/>
        <v>0</v>
      </c>
      <c r="Y46" s="187">
        <f t="shared" si="78"/>
        <v>0</v>
      </c>
      <c r="Z46" s="187">
        <f t="shared" si="78"/>
        <v>0</v>
      </c>
      <c r="AA46" s="187">
        <f t="shared" si="78"/>
        <v>500000000</v>
      </c>
      <c r="AB46" s="189">
        <f t="shared" si="78"/>
        <v>0</v>
      </c>
      <c r="AC46" s="187">
        <f t="shared" si="78"/>
        <v>0</v>
      </c>
      <c r="AD46" s="187">
        <f t="shared" si="78"/>
        <v>0</v>
      </c>
      <c r="AE46" s="187">
        <f t="shared" si="78"/>
        <v>0</v>
      </c>
      <c r="AF46" s="187">
        <f t="shared" si="78"/>
        <v>0</v>
      </c>
      <c r="AG46" s="187">
        <f t="shared" si="78"/>
        <v>-11608909948</v>
      </c>
      <c r="AH46" s="188">
        <f t="shared" si="78"/>
        <v>98068439052</v>
      </c>
      <c r="AI46" s="186">
        <f t="shared" si="78"/>
        <v>20128104</v>
      </c>
      <c r="AJ46" s="187">
        <f aca="true" t="shared" si="79" ref="AJ46:AT46">SUM(AJ47:AJ51)</f>
        <v>5397707608</v>
      </c>
      <c r="AK46" s="187">
        <f t="shared" si="79"/>
        <v>10634413607</v>
      </c>
      <c r="AL46" s="187">
        <f t="shared" si="79"/>
        <v>11220966411</v>
      </c>
      <c r="AM46" s="187">
        <f t="shared" si="79"/>
        <v>4348821224</v>
      </c>
      <c r="AN46" s="187">
        <f t="shared" si="79"/>
        <v>8689233723</v>
      </c>
      <c r="AO46" s="189">
        <f t="shared" si="79"/>
        <v>10944904720</v>
      </c>
      <c r="AP46" s="187">
        <f t="shared" si="79"/>
        <v>9308444212</v>
      </c>
      <c r="AQ46" s="187">
        <f t="shared" si="79"/>
        <v>12772867667</v>
      </c>
      <c r="AR46" s="187">
        <f t="shared" si="79"/>
        <v>10471871803</v>
      </c>
      <c r="AS46" s="187">
        <f t="shared" si="79"/>
        <v>4303904881</v>
      </c>
      <c r="AT46" s="187">
        <f t="shared" si="79"/>
        <v>8393178807</v>
      </c>
      <c r="AU46" s="188">
        <f t="shared" si="78"/>
        <v>96506442767</v>
      </c>
      <c r="AV46" s="186">
        <f t="shared" si="78"/>
        <v>20128104</v>
      </c>
      <c r="AW46" s="187">
        <f t="shared" si="78"/>
        <v>5397707608</v>
      </c>
      <c r="AX46" s="187">
        <f t="shared" si="78"/>
        <v>10634413607</v>
      </c>
      <c r="AY46" s="187">
        <f t="shared" si="78"/>
        <v>11220966411</v>
      </c>
      <c r="AZ46" s="187">
        <f t="shared" si="78"/>
        <v>4348821224</v>
      </c>
      <c r="BA46" s="187">
        <f t="shared" si="78"/>
        <v>8689233723</v>
      </c>
      <c r="BB46" s="189">
        <f t="shared" si="78"/>
        <v>10944904720</v>
      </c>
      <c r="BC46" s="187">
        <f t="shared" si="78"/>
        <v>9308444212</v>
      </c>
      <c r="BD46" s="187">
        <f t="shared" si="78"/>
        <v>12772867667</v>
      </c>
      <c r="BE46" s="187">
        <f t="shared" si="78"/>
        <v>10471871803</v>
      </c>
      <c r="BF46" s="187">
        <f t="shared" si="78"/>
        <v>4303904881</v>
      </c>
      <c r="BG46" s="187">
        <f t="shared" si="78"/>
        <v>8393178807</v>
      </c>
      <c r="BH46" s="188">
        <f t="shared" si="78"/>
        <v>96506442767</v>
      </c>
      <c r="BI46" s="281">
        <f t="shared" si="78"/>
        <v>11608909948</v>
      </c>
      <c r="BJ46" s="282">
        <f t="shared" si="78"/>
        <v>1561996285</v>
      </c>
      <c r="BK46" s="274">
        <f t="shared" si="78"/>
        <v>0</v>
      </c>
    </row>
    <row r="47" spans="1:63" ht="30.75" customHeight="1">
      <c r="A47" s="136" t="s">
        <v>174</v>
      </c>
      <c r="B47" s="130" t="s">
        <v>134</v>
      </c>
      <c r="C47" s="130" t="s">
        <v>185</v>
      </c>
      <c r="D47" s="130" t="s">
        <v>179</v>
      </c>
      <c r="E47" s="130" t="s">
        <v>187</v>
      </c>
      <c r="F47" s="130" t="s">
        <v>138</v>
      </c>
      <c r="G47" s="287" t="s">
        <v>188</v>
      </c>
      <c r="H47" s="173">
        <f>U47-SUM(I47:M47)</f>
        <v>1500000000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257">
        <f>SUM(H47:M47)</f>
        <v>1500000000</v>
      </c>
      <c r="O47" s="173">
        <v>1500000000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257">
        <f>SUM(O47:T47)</f>
        <v>1500000000</v>
      </c>
      <c r="V47" s="173">
        <v>1500000000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3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-389254057</v>
      </c>
      <c r="AH47" s="257">
        <f>SUM(V47:AG47)</f>
        <v>1110745943</v>
      </c>
      <c r="AI47" s="173">
        <f aca="true" t="shared" si="80" ref="AI47:AT48">AV47</f>
        <v>0</v>
      </c>
      <c r="AJ47" s="132">
        <f t="shared" si="80"/>
        <v>4660000</v>
      </c>
      <c r="AK47" s="132">
        <f t="shared" si="80"/>
        <v>4539760</v>
      </c>
      <c r="AL47" s="132">
        <f t="shared" si="80"/>
        <v>27481020</v>
      </c>
      <c r="AM47" s="132">
        <f t="shared" si="80"/>
        <v>48052292</v>
      </c>
      <c r="AN47" s="132">
        <f t="shared" si="80"/>
        <v>60450732</v>
      </c>
      <c r="AO47" s="133">
        <f t="shared" si="80"/>
        <v>100128870</v>
      </c>
      <c r="AP47" s="132">
        <f t="shared" si="80"/>
        <v>74962240</v>
      </c>
      <c r="AQ47" s="132">
        <f t="shared" si="80"/>
        <v>212700885</v>
      </c>
      <c r="AR47" s="132">
        <f t="shared" si="80"/>
        <v>113415295</v>
      </c>
      <c r="AS47" s="132">
        <f t="shared" si="80"/>
        <v>103432180</v>
      </c>
      <c r="AT47" s="132">
        <f t="shared" si="80"/>
        <v>300017497</v>
      </c>
      <c r="AU47" s="257">
        <f>SUM(AI47:AT47)</f>
        <v>1049840771</v>
      </c>
      <c r="AV47" s="173">
        <v>0</v>
      </c>
      <c r="AW47" s="132">
        <v>4660000</v>
      </c>
      <c r="AX47" s="132">
        <v>4539760</v>
      </c>
      <c r="AY47" s="132">
        <v>27481020</v>
      </c>
      <c r="AZ47" s="132">
        <v>48052292</v>
      </c>
      <c r="BA47" s="132">
        <v>60450732</v>
      </c>
      <c r="BB47" s="133">
        <v>100128870</v>
      </c>
      <c r="BC47" s="132">
        <v>74962240</v>
      </c>
      <c r="BD47" s="132">
        <v>212700885</v>
      </c>
      <c r="BE47" s="132">
        <v>113415295</v>
      </c>
      <c r="BF47" s="132">
        <v>103432180</v>
      </c>
      <c r="BG47" s="132">
        <v>300017497</v>
      </c>
      <c r="BH47" s="257">
        <f>SUM(AV47:BG47)</f>
        <v>1049840771</v>
      </c>
      <c r="BI47" s="283">
        <f>U47-AH47</f>
        <v>389254057</v>
      </c>
      <c r="BJ47" s="284">
        <f>AH47-AU47</f>
        <v>60905172</v>
      </c>
      <c r="BK47" s="277">
        <f>AU47-BH47</f>
        <v>0</v>
      </c>
    </row>
    <row r="48" spans="1:63" ht="30.75" customHeight="1">
      <c r="A48" s="136" t="s">
        <v>174</v>
      </c>
      <c r="B48" s="130" t="s">
        <v>134</v>
      </c>
      <c r="C48" s="130" t="s">
        <v>185</v>
      </c>
      <c r="D48" s="130" t="s">
        <v>189</v>
      </c>
      <c r="E48" s="130" t="s">
        <v>140</v>
      </c>
      <c r="F48" s="130" t="s">
        <v>138</v>
      </c>
      <c r="G48" s="287" t="s">
        <v>193</v>
      </c>
      <c r="H48" s="173">
        <f>U48-SUM(I48:M48)</f>
        <v>1050000000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257">
        <f>SUM(H48:M48)</f>
        <v>1050000000</v>
      </c>
      <c r="O48" s="173">
        <v>1050000000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257">
        <f>SUM(O48:T48)</f>
        <v>1050000000</v>
      </c>
      <c r="V48" s="173">
        <v>1050000000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3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-555359220</v>
      </c>
      <c r="AH48" s="257">
        <f>SUM(V48:AG48)</f>
        <v>494640780</v>
      </c>
      <c r="AI48" s="173">
        <f t="shared" si="80"/>
        <v>0</v>
      </c>
      <c r="AJ48" s="132">
        <f t="shared" si="80"/>
        <v>13379597</v>
      </c>
      <c r="AK48" s="132">
        <f t="shared" si="80"/>
        <v>17258234</v>
      </c>
      <c r="AL48" s="132">
        <f t="shared" si="80"/>
        <v>46146654</v>
      </c>
      <c r="AM48" s="132">
        <f t="shared" si="80"/>
        <v>19216220</v>
      </c>
      <c r="AN48" s="132">
        <f t="shared" si="80"/>
        <v>27649097</v>
      </c>
      <c r="AO48" s="133">
        <f t="shared" si="80"/>
        <v>28460847</v>
      </c>
      <c r="AP48" s="132">
        <f t="shared" si="80"/>
        <v>25262675</v>
      </c>
      <c r="AQ48" s="132">
        <f t="shared" si="80"/>
        <v>51354430</v>
      </c>
      <c r="AR48" s="132">
        <f t="shared" si="80"/>
        <v>62069985</v>
      </c>
      <c r="AS48" s="132">
        <f t="shared" si="80"/>
        <v>42979448</v>
      </c>
      <c r="AT48" s="132">
        <f t="shared" si="80"/>
        <v>64464944</v>
      </c>
      <c r="AU48" s="257">
        <f>SUM(AI48:AT48)</f>
        <v>398242131</v>
      </c>
      <c r="AV48" s="173">
        <v>0</v>
      </c>
      <c r="AW48" s="132">
        <v>13379597</v>
      </c>
      <c r="AX48" s="132">
        <v>17258234</v>
      </c>
      <c r="AY48" s="132">
        <v>46146654</v>
      </c>
      <c r="AZ48" s="132">
        <v>19216220</v>
      </c>
      <c r="BA48" s="132">
        <v>27649097</v>
      </c>
      <c r="BB48" s="133">
        <v>28460847</v>
      </c>
      <c r="BC48" s="132">
        <v>25262675</v>
      </c>
      <c r="BD48" s="132">
        <v>51354430</v>
      </c>
      <c r="BE48" s="132">
        <v>62069985</v>
      </c>
      <c r="BF48" s="132">
        <v>42979448</v>
      </c>
      <c r="BG48" s="132">
        <v>64464944</v>
      </c>
      <c r="BH48" s="257">
        <f>SUM(AV48:BG48)</f>
        <v>398242131</v>
      </c>
      <c r="BI48" s="283">
        <f>U48-AH48</f>
        <v>555359220</v>
      </c>
      <c r="BJ48" s="284">
        <f>AH48-AU48</f>
        <v>96398649</v>
      </c>
      <c r="BK48" s="277">
        <f>AU48-BH48</f>
        <v>0</v>
      </c>
    </row>
    <row r="49" spans="1:63" ht="30.75" customHeight="1">
      <c r="A49" s="136" t="s">
        <v>174</v>
      </c>
      <c r="B49" s="130" t="s">
        <v>134</v>
      </c>
      <c r="C49" s="130" t="s">
        <v>185</v>
      </c>
      <c r="D49" s="130" t="s">
        <v>189</v>
      </c>
      <c r="E49" s="130" t="s">
        <v>190</v>
      </c>
      <c r="F49" s="130" t="s">
        <v>138</v>
      </c>
      <c r="G49" s="287" t="s">
        <v>191</v>
      </c>
      <c r="H49" s="173">
        <f>U49-SUM(I49:M49)</f>
        <v>68670149000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257">
        <f>SUM(H49:M49)</f>
        <v>68670149000</v>
      </c>
      <c r="O49" s="173">
        <v>68670149000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257">
        <f>SUM(O49:T49)</f>
        <v>68670149000</v>
      </c>
      <c r="V49" s="173">
        <v>68670149000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3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f>-393575-127800</f>
        <v>-521375</v>
      </c>
      <c r="AH49" s="257">
        <f>SUM(V49:AG49)</f>
        <v>68669627625</v>
      </c>
      <c r="AI49" s="173">
        <f t="shared" si="74"/>
        <v>20128104</v>
      </c>
      <c r="AJ49" s="132">
        <f aca="true" t="shared" si="81" ref="AJ49:AT51">AW49</f>
        <v>5028754770</v>
      </c>
      <c r="AK49" s="132">
        <f t="shared" si="81"/>
        <v>9010328735</v>
      </c>
      <c r="AL49" s="132">
        <f t="shared" si="81"/>
        <v>9321462938</v>
      </c>
      <c r="AM49" s="132">
        <f t="shared" si="81"/>
        <v>3585484734</v>
      </c>
      <c r="AN49" s="132">
        <f t="shared" si="81"/>
        <v>7955687916</v>
      </c>
      <c r="AO49" s="133">
        <f t="shared" si="81"/>
        <v>10075499360</v>
      </c>
      <c r="AP49" s="132">
        <f t="shared" si="81"/>
        <v>7783661906</v>
      </c>
      <c r="AQ49" s="132">
        <f t="shared" si="81"/>
        <v>10843181108</v>
      </c>
      <c r="AR49" s="132">
        <f t="shared" si="81"/>
        <v>4306340182</v>
      </c>
      <c r="AS49" s="132">
        <f t="shared" si="81"/>
        <v>534509234</v>
      </c>
      <c r="AT49" s="132">
        <f t="shared" si="81"/>
        <v>168165838</v>
      </c>
      <c r="AU49" s="257">
        <f>SUM(AI49:AT49)</f>
        <v>68633204825</v>
      </c>
      <c r="AV49" s="173">
        <v>20128104</v>
      </c>
      <c r="AW49" s="132">
        <v>5028754770</v>
      </c>
      <c r="AX49" s="132">
        <v>9010328735</v>
      </c>
      <c r="AY49" s="132">
        <f>9321462938</f>
        <v>9321462938</v>
      </c>
      <c r="AZ49" s="132">
        <f>3585484734</f>
        <v>3585484734</v>
      </c>
      <c r="BA49" s="132">
        <v>7955687916</v>
      </c>
      <c r="BB49" s="133">
        <f>10075499360</f>
        <v>10075499360</v>
      </c>
      <c r="BC49" s="132">
        <f>7783661906</f>
        <v>7783661906</v>
      </c>
      <c r="BD49" s="132">
        <f>10843181108</f>
        <v>10843181108</v>
      </c>
      <c r="BE49" s="132">
        <v>4306340182</v>
      </c>
      <c r="BF49" s="132">
        <f>534509234</f>
        <v>534509234</v>
      </c>
      <c r="BG49" s="132">
        <v>168165838</v>
      </c>
      <c r="BH49" s="257">
        <f>SUM(AV49:BG49)</f>
        <v>68633204825</v>
      </c>
      <c r="BI49" s="283">
        <f>U49-AH49</f>
        <v>521375</v>
      </c>
      <c r="BJ49" s="284">
        <f>AH49-AU49</f>
        <v>36422800</v>
      </c>
      <c r="BK49" s="277">
        <f>AU49-BH49</f>
        <v>0</v>
      </c>
    </row>
    <row r="50" spans="1:63" ht="30.75" customHeight="1">
      <c r="A50" s="136" t="s">
        <v>174</v>
      </c>
      <c r="B50" s="130" t="s">
        <v>134</v>
      </c>
      <c r="C50" s="130" t="s">
        <v>185</v>
      </c>
      <c r="D50" s="130" t="s">
        <v>189</v>
      </c>
      <c r="E50" s="130" t="s">
        <v>190</v>
      </c>
      <c r="F50" s="130" t="s">
        <v>192</v>
      </c>
      <c r="G50" s="287" t="s">
        <v>191</v>
      </c>
      <c r="H50" s="173">
        <f>U50-SUM(I50:M50)</f>
        <v>37957200000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257">
        <f>SUM(H50:M50)</f>
        <v>37957200000</v>
      </c>
      <c r="O50" s="173">
        <v>37957200000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257">
        <f>SUM(O50:T50)</f>
        <v>37957200000</v>
      </c>
      <c r="V50" s="173">
        <v>37957200000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3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f>-10134636996-29138300</f>
        <v>-10163775296</v>
      </c>
      <c r="AH50" s="257">
        <f>SUM(V50:AG50)</f>
        <v>27793424704</v>
      </c>
      <c r="AI50" s="173">
        <f>AV50</f>
        <v>0</v>
      </c>
      <c r="AJ50" s="132">
        <f t="shared" si="81"/>
        <v>350913241</v>
      </c>
      <c r="AK50" s="132">
        <f t="shared" si="81"/>
        <v>1602286878</v>
      </c>
      <c r="AL50" s="132">
        <f t="shared" si="81"/>
        <v>1825875799</v>
      </c>
      <c r="AM50" s="132">
        <f t="shared" si="81"/>
        <v>696067978</v>
      </c>
      <c r="AN50" s="132">
        <f t="shared" si="81"/>
        <v>645445978</v>
      </c>
      <c r="AO50" s="133">
        <f t="shared" si="81"/>
        <v>740815643</v>
      </c>
      <c r="AP50" s="132">
        <f t="shared" si="81"/>
        <v>1424557391</v>
      </c>
      <c r="AQ50" s="132">
        <f t="shared" si="81"/>
        <v>1665631244</v>
      </c>
      <c r="AR50" s="132">
        <f t="shared" si="81"/>
        <v>5990046341</v>
      </c>
      <c r="AS50" s="132">
        <f t="shared" si="81"/>
        <v>3622984019</v>
      </c>
      <c r="AT50" s="132">
        <f t="shared" si="81"/>
        <v>7860530528</v>
      </c>
      <c r="AU50" s="257">
        <f>SUM(AI50:AT50)</f>
        <v>26425155040</v>
      </c>
      <c r="AV50" s="173">
        <v>0</v>
      </c>
      <c r="AW50" s="132">
        <f>167505551+183407690</f>
        <v>350913241</v>
      </c>
      <c r="AX50" s="132">
        <f>1130581563+464136054+7569261</f>
        <v>1602286878</v>
      </c>
      <c r="AY50" s="132">
        <f>1107785158+718090641</f>
        <v>1825875799</v>
      </c>
      <c r="AZ50" s="132">
        <f>320124219+375943759</f>
        <v>696067978</v>
      </c>
      <c r="BA50" s="132">
        <v>645445978</v>
      </c>
      <c r="BB50" s="133">
        <f>314985184+423239481+2590978</f>
        <v>740815643</v>
      </c>
      <c r="BC50" s="132">
        <f>661147554+760654637+2755200</f>
        <v>1424557391</v>
      </c>
      <c r="BD50" s="132">
        <f>572705576+1079229297+13696371</f>
        <v>1665631244</v>
      </c>
      <c r="BE50" s="132">
        <f>3571811387+1157038578+1243828696+17367680</f>
        <v>5990046341</v>
      </c>
      <c r="BF50" s="132">
        <f>2451991856+357469415+813522748</f>
        <v>3622984019</v>
      </c>
      <c r="BG50" s="132">
        <f>5789021135+301803849+1769705544</f>
        <v>7860530528</v>
      </c>
      <c r="BH50" s="257">
        <f>SUM(AV50:BG50)</f>
        <v>26425155040</v>
      </c>
      <c r="BI50" s="283">
        <f>U50-AH50</f>
        <v>10163775296</v>
      </c>
      <c r="BJ50" s="284">
        <f>AH50-AU50</f>
        <v>1368269664</v>
      </c>
      <c r="BK50" s="277">
        <f>AU50-BH50</f>
        <v>0</v>
      </c>
    </row>
    <row r="51" spans="1:63" ht="30.75" customHeight="1" thickBot="1">
      <c r="A51" s="137" t="s">
        <v>174</v>
      </c>
      <c r="B51" s="138" t="s">
        <v>134</v>
      </c>
      <c r="C51" s="138" t="s">
        <v>185</v>
      </c>
      <c r="D51" s="138" t="s">
        <v>189</v>
      </c>
      <c r="E51" s="138" t="s">
        <v>259</v>
      </c>
      <c r="F51" s="138" t="s">
        <v>138</v>
      </c>
      <c r="G51" s="288" t="s">
        <v>260</v>
      </c>
      <c r="H51" s="174">
        <f>U51-SUM(I51:M51)</f>
        <v>500000000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258">
        <f>SUM(H51:M51)</f>
        <v>500000000</v>
      </c>
      <c r="O51" s="174">
        <v>500000000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258">
        <f>SUM(O51:T51)</f>
        <v>500000000</v>
      </c>
      <c r="V51" s="174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500000000</v>
      </c>
      <c r="AB51" s="142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-500000000</v>
      </c>
      <c r="AH51" s="258">
        <f>SUM(V51:AG51)</f>
        <v>0</v>
      </c>
      <c r="AI51" s="174">
        <f>AV51</f>
        <v>0</v>
      </c>
      <c r="AJ51" s="141">
        <f t="shared" si="81"/>
        <v>0</v>
      </c>
      <c r="AK51" s="141">
        <f t="shared" si="81"/>
        <v>0</v>
      </c>
      <c r="AL51" s="141">
        <f t="shared" si="81"/>
        <v>0</v>
      </c>
      <c r="AM51" s="141">
        <f t="shared" si="81"/>
        <v>0</v>
      </c>
      <c r="AN51" s="141">
        <f t="shared" si="81"/>
        <v>0</v>
      </c>
      <c r="AO51" s="142">
        <f t="shared" si="81"/>
        <v>0</v>
      </c>
      <c r="AP51" s="141">
        <f t="shared" si="81"/>
        <v>0</v>
      </c>
      <c r="AQ51" s="141">
        <f t="shared" si="81"/>
        <v>0</v>
      </c>
      <c r="AR51" s="141">
        <f t="shared" si="81"/>
        <v>0</v>
      </c>
      <c r="AS51" s="141">
        <f t="shared" si="81"/>
        <v>0</v>
      </c>
      <c r="AT51" s="141">
        <f t="shared" si="81"/>
        <v>0</v>
      </c>
      <c r="AU51" s="258">
        <f>SUM(AI51:AT51)</f>
        <v>0</v>
      </c>
      <c r="AV51" s="174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2">
        <v>0</v>
      </c>
      <c r="BC51" s="141">
        <v>0</v>
      </c>
      <c r="BD51" s="141">
        <v>0</v>
      </c>
      <c r="BE51" s="141">
        <v>0</v>
      </c>
      <c r="BF51" s="141">
        <v>0</v>
      </c>
      <c r="BG51" s="141">
        <v>0</v>
      </c>
      <c r="BH51" s="258">
        <f>SUM(AV51:BG51)</f>
        <v>0</v>
      </c>
      <c r="BI51" s="285">
        <f>U51-AH51</f>
        <v>500000000</v>
      </c>
      <c r="BJ51" s="286">
        <f>AH51-AU51</f>
        <v>0</v>
      </c>
      <c r="BK51" s="280">
        <f>AU51-BH51</f>
        <v>0</v>
      </c>
    </row>
    <row r="52" ht="13.5" thickBot="1"/>
    <row r="53" spans="1:63" ht="13.5" thickBot="1">
      <c r="A53" s="124" t="s">
        <v>194</v>
      </c>
      <c r="B53" s="125"/>
      <c r="C53" s="125"/>
      <c r="D53" s="125"/>
      <c r="E53" s="125"/>
      <c r="F53" s="125"/>
      <c r="G53" s="126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8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8"/>
      <c r="BC53" s="127"/>
      <c r="BD53" s="127"/>
      <c r="BE53" s="127"/>
      <c r="BF53" s="127"/>
      <c r="BG53" s="127"/>
      <c r="BH53" s="127"/>
      <c r="BI53" s="127"/>
      <c r="BJ53" s="127"/>
      <c r="BK53" s="129"/>
    </row>
    <row r="54" ht="13.5" thickBot="1"/>
    <row r="55" spans="1:63" ht="30.75" customHeight="1" thickBot="1">
      <c r="A55" s="175" t="s">
        <v>174</v>
      </c>
      <c r="B55" s="176" t="s">
        <v>132</v>
      </c>
      <c r="C55" s="176" t="s">
        <v>132</v>
      </c>
      <c r="D55" s="176" t="s">
        <v>132</v>
      </c>
      <c r="E55" s="176" t="s">
        <v>132</v>
      </c>
      <c r="F55" s="176" t="s">
        <v>132</v>
      </c>
      <c r="G55" s="199" t="s">
        <v>195</v>
      </c>
      <c r="H55" s="178">
        <f aca="true" t="shared" si="82" ref="H55:AT55">H56</f>
        <v>22882000000</v>
      </c>
      <c r="I55" s="179">
        <f t="shared" si="82"/>
        <v>0</v>
      </c>
      <c r="J55" s="179">
        <f t="shared" si="82"/>
        <v>0</v>
      </c>
      <c r="K55" s="179">
        <f t="shared" si="82"/>
        <v>0</v>
      </c>
      <c r="L55" s="179">
        <f t="shared" si="82"/>
        <v>0</v>
      </c>
      <c r="M55" s="179">
        <f t="shared" si="82"/>
        <v>0</v>
      </c>
      <c r="N55" s="180">
        <f t="shared" si="82"/>
        <v>22882000000</v>
      </c>
      <c r="O55" s="178">
        <f t="shared" si="82"/>
        <v>22882000000</v>
      </c>
      <c r="P55" s="179">
        <f t="shared" si="82"/>
        <v>0</v>
      </c>
      <c r="Q55" s="179">
        <f t="shared" si="82"/>
        <v>0</v>
      </c>
      <c r="R55" s="179">
        <f t="shared" si="82"/>
        <v>0</v>
      </c>
      <c r="S55" s="179">
        <f t="shared" si="82"/>
        <v>0</v>
      </c>
      <c r="T55" s="179">
        <f t="shared" si="82"/>
        <v>0</v>
      </c>
      <c r="U55" s="180">
        <f t="shared" si="82"/>
        <v>22882000000</v>
      </c>
      <c r="V55" s="179">
        <f t="shared" si="82"/>
        <v>13904000000</v>
      </c>
      <c r="W55" s="179">
        <f t="shared" si="82"/>
        <v>0</v>
      </c>
      <c r="X55" s="179">
        <f t="shared" si="82"/>
        <v>0</v>
      </c>
      <c r="Y55" s="179">
        <f t="shared" si="82"/>
        <v>0</v>
      </c>
      <c r="Z55" s="179">
        <f t="shared" si="82"/>
        <v>0</v>
      </c>
      <c r="AA55" s="179">
        <f t="shared" si="82"/>
        <v>0</v>
      </c>
      <c r="AB55" s="181">
        <f t="shared" si="82"/>
        <v>0</v>
      </c>
      <c r="AC55" s="179">
        <f t="shared" si="82"/>
        <v>0</v>
      </c>
      <c r="AD55" s="179">
        <f t="shared" si="82"/>
        <v>0</v>
      </c>
      <c r="AE55" s="179">
        <f t="shared" si="82"/>
        <v>0</v>
      </c>
      <c r="AF55" s="179">
        <f t="shared" si="82"/>
        <v>0</v>
      </c>
      <c r="AG55" s="179">
        <f t="shared" si="82"/>
        <v>-46705683</v>
      </c>
      <c r="AH55" s="179">
        <f t="shared" si="82"/>
        <v>13857294317</v>
      </c>
      <c r="AI55" s="179">
        <f t="shared" si="82"/>
        <v>0</v>
      </c>
      <c r="AJ55" s="179">
        <f t="shared" si="82"/>
        <v>989808429</v>
      </c>
      <c r="AK55" s="179">
        <f t="shared" si="82"/>
        <v>1443962968</v>
      </c>
      <c r="AL55" s="179">
        <f t="shared" si="82"/>
        <v>37292520</v>
      </c>
      <c r="AM55" s="179">
        <f t="shared" si="82"/>
        <v>365738542</v>
      </c>
      <c r="AN55" s="179">
        <f t="shared" si="82"/>
        <v>141266236</v>
      </c>
      <c r="AO55" s="181">
        <f t="shared" si="82"/>
        <v>1650877856</v>
      </c>
      <c r="AP55" s="179">
        <f t="shared" si="82"/>
        <v>33590905</v>
      </c>
      <c r="AQ55" s="179">
        <f t="shared" si="82"/>
        <v>1236000</v>
      </c>
      <c r="AR55" s="179">
        <f t="shared" si="82"/>
        <v>0</v>
      </c>
      <c r="AS55" s="179">
        <f t="shared" si="82"/>
        <v>500308000</v>
      </c>
      <c r="AT55" s="179">
        <f t="shared" si="82"/>
        <v>8693212861</v>
      </c>
      <c r="AU55" s="179">
        <f aca="true" t="shared" si="83" ref="AU55:BK55">AU56</f>
        <v>13857294317</v>
      </c>
      <c r="AV55" s="178">
        <f t="shared" si="83"/>
        <v>0</v>
      </c>
      <c r="AW55" s="179">
        <f t="shared" si="83"/>
        <v>989808429</v>
      </c>
      <c r="AX55" s="179">
        <f t="shared" si="83"/>
        <v>1443962968</v>
      </c>
      <c r="AY55" s="179">
        <f t="shared" si="83"/>
        <v>37292520</v>
      </c>
      <c r="AZ55" s="179">
        <f t="shared" si="83"/>
        <v>365738542</v>
      </c>
      <c r="BA55" s="179">
        <f t="shared" si="83"/>
        <v>141266236</v>
      </c>
      <c r="BB55" s="181">
        <f t="shared" si="83"/>
        <v>1650877856</v>
      </c>
      <c r="BC55" s="179">
        <f t="shared" si="83"/>
        <v>33590905</v>
      </c>
      <c r="BD55" s="179">
        <f t="shared" si="83"/>
        <v>1236000</v>
      </c>
      <c r="BE55" s="179">
        <f t="shared" si="83"/>
        <v>0</v>
      </c>
      <c r="BF55" s="179">
        <f t="shared" si="83"/>
        <v>500308000</v>
      </c>
      <c r="BG55" s="179">
        <f t="shared" si="83"/>
        <v>1599635731</v>
      </c>
      <c r="BH55" s="180">
        <f t="shared" si="83"/>
        <v>6763717187</v>
      </c>
      <c r="BI55" s="179">
        <f t="shared" si="83"/>
        <v>9024705683</v>
      </c>
      <c r="BJ55" s="247">
        <f t="shared" si="83"/>
        <v>0</v>
      </c>
      <c r="BK55" s="180">
        <f t="shared" si="83"/>
        <v>7093577130</v>
      </c>
    </row>
    <row r="56" spans="1:63" ht="30.75" customHeight="1">
      <c r="A56" s="182" t="s">
        <v>174</v>
      </c>
      <c r="B56" s="183" t="s">
        <v>134</v>
      </c>
      <c r="C56" s="183" t="s">
        <v>185</v>
      </c>
      <c r="D56" s="183" t="s">
        <v>132</v>
      </c>
      <c r="E56" s="183" t="s">
        <v>132</v>
      </c>
      <c r="F56" s="183" t="s">
        <v>132</v>
      </c>
      <c r="G56" s="200" t="s">
        <v>186</v>
      </c>
      <c r="H56" s="186">
        <f>SUM(H57:H63)</f>
        <v>22882000000</v>
      </c>
      <c r="I56" s="187">
        <f aca="true" t="shared" si="84" ref="I56:X56">SUM(I57:I63)</f>
        <v>0</v>
      </c>
      <c r="J56" s="187">
        <f t="shared" si="84"/>
        <v>0</v>
      </c>
      <c r="K56" s="187">
        <f t="shared" si="84"/>
        <v>0</v>
      </c>
      <c r="L56" s="187">
        <f t="shared" si="84"/>
        <v>0</v>
      </c>
      <c r="M56" s="187">
        <f t="shared" si="84"/>
        <v>0</v>
      </c>
      <c r="N56" s="188">
        <f t="shared" si="84"/>
        <v>22882000000</v>
      </c>
      <c r="O56" s="186">
        <f t="shared" si="84"/>
        <v>22882000000</v>
      </c>
      <c r="P56" s="187">
        <f t="shared" si="84"/>
        <v>0</v>
      </c>
      <c r="Q56" s="187">
        <f t="shared" si="84"/>
        <v>0</v>
      </c>
      <c r="R56" s="187">
        <f t="shared" si="84"/>
        <v>0</v>
      </c>
      <c r="S56" s="187">
        <f t="shared" si="84"/>
        <v>0</v>
      </c>
      <c r="T56" s="187">
        <f t="shared" si="84"/>
        <v>0</v>
      </c>
      <c r="U56" s="188">
        <f t="shared" si="84"/>
        <v>22882000000</v>
      </c>
      <c r="V56" s="187">
        <f t="shared" si="84"/>
        <v>13904000000</v>
      </c>
      <c r="W56" s="187">
        <f t="shared" si="84"/>
        <v>0</v>
      </c>
      <c r="X56" s="187">
        <f t="shared" si="84"/>
        <v>0</v>
      </c>
      <c r="Y56" s="187">
        <f aca="true" t="shared" si="85" ref="Y56:AI56">SUM(Y57:Y63)</f>
        <v>0</v>
      </c>
      <c r="Z56" s="187">
        <f t="shared" si="85"/>
        <v>0</v>
      </c>
      <c r="AA56" s="187">
        <f t="shared" si="85"/>
        <v>0</v>
      </c>
      <c r="AB56" s="189">
        <f t="shared" si="85"/>
        <v>0</v>
      </c>
      <c r="AC56" s="187">
        <f t="shared" si="85"/>
        <v>0</v>
      </c>
      <c r="AD56" s="187">
        <f t="shared" si="85"/>
        <v>0</v>
      </c>
      <c r="AE56" s="187">
        <f t="shared" si="85"/>
        <v>0</v>
      </c>
      <c r="AF56" s="187">
        <f t="shared" si="85"/>
        <v>0</v>
      </c>
      <c r="AG56" s="187">
        <f t="shared" si="85"/>
        <v>-46705683</v>
      </c>
      <c r="AH56" s="187">
        <f t="shared" si="85"/>
        <v>13857294317</v>
      </c>
      <c r="AI56" s="187">
        <f t="shared" si="85"/>
        <v>0</v>
      </c>
      <c r="AJ56" s="187">
        <f aca="true" t="shared" si="86" ref="AJ56:AT56">SUM(AJ57:AJ63)</f>
        <v>989808429</v>
      </c>
      <c r="AK56" s="187">
        <f t="shared" si="86"/>
        <v>1443962968</v>
      </c>
      <c r="AL56" s="187">
        <f t="shared" si="86"/>
        <v>37292520</v>
      </c>
      <c r="AM56" s="187">
        <f t="shared" si="86"/>
        <v>365738542</v>
      </c>
      <c r="AN56" s="187">
        <f t="shared" si="86"/>
        <v>141266236</v>
      </c>
      <c r="AO56" s="189">
        <f t="shared" si="86"/>
        <v>1650877856</v>
      </c>
      <c r="AP56" s="187">
        <f t="shared" si="86"/>
        <v>33590905</v>
      </c>
      <c r="AQ56" s="187">
        <f t="shared" si="86"/>
        <v>1236000</v>
      </c>
      <c r="AR56" s="187">
        <f t="shared" si="86"/>
        <v>0</v>
      </c>
      <c r="AS56" s="187">
        <f t="shared" si="86"/>
        <v>500308000</v>
      </c>
      <c r="AT56" s="187">
        <f t="shared" si="86"/>
        <v>8693212861</v>
      </c>
      <c r="AU56" s="187">
        <f aca="true" t="shared" si="87" ref="AU56:BD56">SUM(AU57:AU63)</f>
        <v>13857294317</v>
      </c>
      <c r="AV56" s="186">
        <f t="shared" si="87"/>
        <v>0</v>
      </c>
      <c r="AW56" s="187">
        <f t="shared" si="87"/>
        <v>989808429</v>
      </c>
      <c r="AX56" s="187">
        <f t="shared" si="87"/>
        <v>1443962968</v>
      </c>
      <c r="AY56" s="187">
        <f t="shared" si="87"/>
        <v>37292520</v>
      </c>
      <c r="AZ56" s="187">
        <f t="shared" si="87"/>
        <v>365738542</v>
      </c>
      <c r="BA56" s="187">
        <f t="shared" si="87"/>
        <v>141266236</v>
      </c>
      <c r="BB56" s="189">
        <f t="shared" si="87"/>
        <v>1650877856</v>
      </c>
      <c r="BC56" s="187">
        <f t="shared" si="87"/>
        <v>33590905</v>
      </c>
      <c r="BD56" s="187">
        <f t="shared" si="87"/>
        <v>1236000</v>
      </c>
      <c r="BE56" s="187">
        <f aca="true" t="shared" si="88" ref="BE56:BK56">SUM(BE57:BE63)</f>
        <v>0</v>
      </c>
      <c r="BF56" s="187">
        <f t="shared" si="88"/>
        <v>500308000</v>
      </c>
      <c r="BG56" s="187">
        <f t="shared" si="88"/>
        <v>1599635731</v>
      </c>
      <c r="BH56" s="188">
        <f t="shared" si="88"/>
        <v>6763717187</v>
      </c>
      <c r="BI56" s="281">
        <f t="shared" si="88"/>
        <v>9024705683</v>
      </c>
      <c r="BJ56" s="282">
        <f t="shared" si="88"/>
        <v>0</v>
      </c>
      <c r="BK56" s="274">
        <f t="shared" si="88"/>
        <v>7093577130</v>
      </c>
    </row>
    <row r="57" spans="1:63" ht="30.75" customHeight="1">
      <c r="A57" s="136" t="s">
        <v>174</v>
      </c>
      <c r="B57" s="130" t="s">
        <v>134</v>
      </c>
      <c r="C57" s="130" t="s">
        <v>185</v>
      </c>
      <c r="D57" s="130" t="s">
        <v>196</v>
      </c>
      <c r="E57" s="130" t="s">
        <v>142</v>
      </c>
      <c r="F57" s="130" t="s">
        <v>197</v>
      </c>
      <c r="G57" s="287" t="s">
        <v>198</v>
      </c>
      <c r="H57" s="173">
        <f aca="true" t="shared" si="89" ref="H57:H63">U57-SUM(I57:M57)</f>
        <v>5000000000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257">
        <f aca="true" t="shared" si="90" ref="N57:N63">SUM(H57:M57)</f>
        <v>5000000000</v>
      </c>
      <c r="O57" s="173">
        <v>5000000000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257">
        <f aca="true" t="shared" si="91" ref="U57:U63">SUM(O57:T57)</f>
        <v>5000000000</v>
      </c>
      <c r="V57" s="132">
        <v>5000000000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3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265">
        <f aca="true" t="shared" si="92" ref="AH57:AH63">SUM(V57:AG57)</f>
        <v>5000000000</v>
      </c>
      <c r="AI57" s="132">
        <f aca="true" t="shared" si="93" ref="AI57:AI63">AV57</f>
        <v>0</v>
      </c>
      <c r="AJ57" s="132">
        <f aca="true" t="shared" si="94" ref="AJ57:AJ63">AW57</f>
        <v>0</v>
      </c>
      <c r="AK57" s="132">
        <f aca="true" t="shared" si="95" ref="AK57:AK63">AX57</f>
        <v>0</v>
      </c>
      <c r="AL57" s="132">
        <f aca="true" t="shared" si="96" ref="AL57:AL63">AY57</f>
        <v>0</v>
      </c>
      <c r="AM57" s="132">
        <f aca="true" t="shared" si="97" ref="AM57:AM63">AZ57</f>
        <v>0</v>
      </c>
      <c r="AN57" s="132">
        <f aca="true" t="shared" si="98" ref="AN57:AN63">BA57</f>
        <v>0</v>
      </c>
      <c r="AO57" s="133">
        <f aca="true" t="shared" si="99" ref="AO57:AO63">BB57</f>
        <v>1256310000</v>
      </c>
      <c r="AP57" s="132">
        <f aca="true" t="shared" si="100" ref="AP57:AP63">BC57</f>
        <v>30820000</v>
      </c>
      <c r="AQ57" s="132">
        <f aca="true" t="shared" si="101" ref="AQ57:AQ63">BD57</f>
        <v>0</v>
      </c>
      <c r="AR57" s="132">
        <f aca="true" t="shared" si="102" ref="AR57:AR63">BE57</f>
        <v>0</v>
      </c>
      <c r="AS57" s="132">
        <f aca="true" t="shared" si="103" ref="AS57:AS63">BF57</f>
        <v>0</v>
      </c>
      <c r="AT57" s="132">
        <f aca="true" t="shared" si="104" ref="AT57:AT63">AH57-SUM(AI57:AS57)</f>
        <v>3712870000</v>
      </c>
      <c r="AU57" s="265">
        <f aca="true" t="shared" si="105" ref="AU57:AU63">SUM(AI57:AT57)</f>
        <v>5000000000</v>
      </c>
      <c r="AV57" s="173">
        <v>0</v>
      </c>
      <c r="AW57" s="132">
        <v>0</v>
      </c>
      <c r="AX57" s="132">
        <v>0</v>
      </c>
      <c r="AY57" s="132">
        <v>0</v>
      </c>
      <c r="AZ57" s="132">
        <v>0</v>
      </c>
      <c r="BA57" s="132">
        <v>0</v>
      </c>
      <c r="BB57" s="133">
        <v>1256310000</v>
      </c>
      <c r="BC57" s="132">
        <v>30820000</v>
      </c>
      <c r="BD57" s="132">
        <v>0</v>
      </c>
      <c r="BE57" s="132">
        <v>0</v>
      </c>
      <c r="BF57" s="132">
        <v>0</v>
      </c>
      <c r="BG57" s="132">
        <v>0</v>
      </c>
      <c r="BH57" s="257">
        <f aca="true" t="shared" si="106" ref="BH57:BH63">SUM(AV57:BG57)</f>
        <v>1287130000</v>
      </c>
      <c r="BI57" s="283">
        <f aca="true" t="shared" si="107" ref="BI57:BI63">U57-AH57</f>
        <v>0</v>
      </c>
      <c r="BJ57" s="284">
        <f aca="true" t="shared" si="108" ref="BJ57:BJ63">AH57-AU57</f>
        <v>0</v>
      </c>
      <c r="BK57" s="277">
        <f aca="true" t="shared" si="109" ref="BK57:BK63">AU57-BH57</f>
        <v>3712870000</v>
      </c>
    </row>
    <row r="58" spans="1:63" ht="30.75" customHeight="1">
      <c r="A58" s="136" t="s">
        <v>174</v>
      </c>
      <c r="B58" s="130" t="s">
        <v>134</v>
      </c>
      <c r="C58" s="130" t="s">
        <v>185</v>
      </c>
      <c r="D58" s="130" t="s">
        <v>189</v>
      </c>
      <c r="E58" s="130" t="s">
        <v>140</v>
      </c>
      <c r="F58" s="130" t="s">
        <v>197</v>
      </c>
      <c r="G58" s="287" t="s">
        <v>193</v>
      </c>
      <c r="H58" s="173">
        <f>U58-SUM(I58:M58)</f>
        <v>918000000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257">
        <f>SUM(H58:M58)</f>
        <v>918000000</v>
      </c>
      <c r="O58" s="173">
        <v>918000000</v>
      </c>
      <c r="P58" s="132">
        <v>0</v>
      </c>
      <c r="Q58" s="132">
        <v>0</v>
      </c>
      <c r="R58" s="132">
        <f>-918000000*0</f>
        <v>0</v>
      </c>
      <c r="S58" s="132">
        <v>0</v>
      </c>
      <c r="T58" s="132">
        <v>0</v>
      </c>
      <c r="U58" s="257">
        <f>SUM(O58:T58)</f>
        <v>918000000</v>
      </c>
      <c r="V58" s="173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3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265">
        <f t="shared" si="92"/>
        <v>0</v>
      </c>
      <c r="AI58" s="173">
        <f t="shared" si="93"/>
        <v>0</v>
      </c>
      <c r="AJ58" s="132">
        <f t="shared" si="94"/>
        <v>0</v>
      </c>
      <c r="AK58" s="132">
        <f t="shared" si="95"/>
        <v>0</v>
      </c>
      <c r="AL58" s="132">
        <f t="shared" si="96"/>
        <v>0</v>
      </c>
      <c r="AM58" s="132">
        <f t="shared" si="97"/>
        <v>0</v>
      </c>
      <c r="AN58" s="132">
        <f t="shared" si="98"/>
        <v>0</v>
      </c>
      <c r="AO58" s="133">
        <f t="shared" si="99"/>
        <v>0</v>
      </c>
      <c r="AP58" s="132">
        <f t="shared" si="100"/>
        <v>0</v>
      </c>
      <c r="AQ58" s="132">
        <f t="shared" si="101"/>
        <v>0</v>
      </c>
      <c r="AR58" s="132">
        <f t="shared" si="102"/>
        <v>0</v>
      </c>
      <c r="AS58" s="132">
        <f t="shared" si="103"/>
        <v>0</v>
      </c>
      <c r="AT58" s="132">
        <f t="shared" si="104"/>
        <v>0</v>
      </c>
      <c r="AU58" s="265">
        <f t="shared" si="105"/>
        <v>0</v>
      </c>
      <c r="AV58" s="173">
        <v>0</v>
      </c>
      <c r="AW58" s="132">
        <v>0</v>
      </c>
      <c r="AX58" s="132">
        <v>0</v>
      </c>
      <c r="AY58" s="132">
        <v>0</v>
      </c>
      <c r="AZ58" s="132">
        <v>0</v>
      </c>
      <c r="BA58" s="132">
        <v>0</v>
      </c>
      <c r="BB58" s="133">
        <v>0</v>
      </c>
      <c r="BC58" s="132">
        <v>0</v>
      </c>
      <c r="BD58" s="132">
        <v>0</v>
      </c>
      <c r="BE58" s="132">
        <v>0</v>
      </c>
      <c r="BF58" s="132">
        <v>0</v>
      </c>
      <c r="BG58" s="132">
        <v>0</v>
      </c>
      <c r="BH58" s="257">
        <f>SUM(AV58:BG58)</f>
        <v>0</v>
      </c>
      <c r="BI58" s="283">
        <f>U58-AH58</f>
        <v>918000000</v>
      </c>
      <c r="BJ58" s="284">
        <f>AH58-AU58</f>
        <v>0</v>
      </c>
      <c r="BK58" s="277">
        <f>AU58-BH58</f>
        <v>0</v>
      </c>
    </row>
    <row r="59" spans="1:63" ht="30.75" customHeight="1">
      <c r="A59" s="136" t="s">
        <v>174</v>
      </c>
      <c r="B59" s="130" t="s">
        <v>134</v>
      </c>
      <c r="C59" s="130" t="s">
        <v>185</v>
      </c>
      <c r="D59" s="130" t="s">
        <v>189</v>
      </c>
      <c r="E59" s="130" t="s">
        <v>190</v>
      </c>
      <c r="F59" s="130" t="s">
        <v>197</v>
      </c>
      <c r="G59" s="287" t="s">
        <v>191</v>
      </c>
      <c r="H59" s="173">
        <f t="shared" si="89"/>
        <v>3000000000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257">
        <f t="shared" si="90"/>
        <v>3000000000</v>
      </c>
      <c r="O59" s="173">
        <v>3000000000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257">
        <f t="shared" si="91"/>
        <v>3000000000</v>
      </c>
      <c r="V59" s="132">
        <v>3000000000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3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265">
        <f t="shared" si="92"/>
        <v>3000000000</v>
      </c>
      <c r="AI59" s="132">
        <f t="shared" si="93"/>
        <v>0</v>
      </c>
      <c r="AJ59" s="132">
        <f t="shared" si="94"/>
        <v>848845000</v>
      </c>
      <c r="AK59" s="132">
        <f t="shared" si="95"/>
        <v>1301203099</v>
      </c>
      <c r="AL59" s="132">
        <f t="shared" si="96"/>
        <v>62000</v>
      </c>
      <c r="AM59" s="132">
        <f t="shared" si="97"/>
        <v>100000</v>
      </c>
      <c r="AN59" s="132">
        <f t="shared" si="98"/>
        <v>0</v>
      </c>
      <c r="AO59" s="133">
        <f t="shared" si="99"/>
        <v>324086277</v>
      </c>
      <c r="AP59" s="132">
        <f t="shared" si="100"/>
        <v>0</v>
      </c>
      <c r="AQ59" s="132">
        <f t="shared" si="101"/>
        <v>0</v>
      </c>
      <c r="AR59" s="132">
        <f t="shared" si="102"/>
        <v>0</v>
      </c>
      <c r="AS59" s="132">
        <f t="shared" si="103"/>
        <v>0</v>
      </c>
      <c r="AT59" s="132">
        <f t="shared" si="104"/>
        <v>525703624</v>
      </c>
      <c r="AU59" s="265">
        <f t="shared" si="105"/>
        <v>3000000000</v>
      </c>
      <c r="AV59" s="173">
        <v>0</v>
      </c>
      <c r="AW59" s="132">
        <f>848845000</f>
        <v>848845000</v>
      </c>
      <c r="AX59" s="132">
        <v>1301203099</v>
      </c>
      <c r="AY59" s="132">
        <f>62000</f>
        <v>62000</v>
      </c>
      <c r="AZ59" s="132">
        <v>100000</v>
      </c>
      <c r="BA59" s="132">
        <v>0</v>
      </c>
      <c r="BB59" s="133">
        <f>324086277</f>
        <v>324086277</v>
      </c>
      <c r="BC59" s="132">
        <v>0</v>
      </c>
      <c r="BD59" s="132">
        <v>0</v>
      </c>
      <c r="BE59" s="132">
        <v>0</v>
      </c>
      <c r="BF59" s="132">
        <v>0</v>
      </c>
      <c r="BG59" s="132">
        <v>0</v>
      </c>
      <c r="BH59" s="257">
        <f t="shared" si="106"/>
        <v>2474296376</v>
      </c>
      <c r="BI59" s="283">
        <f t="shared" si="107"/>
        <v>0</v>
      </c>
      <c r="BJ59" s="284">
        <f t="shared" si="108"/>
        <v>0</v>
      </c>
      <c r="BK59" s="277">
        <f t="shared" si="109"/>
        <v>525703624</v>
      </c>
    </row>
    <row r="60" spans="1:63" ht="30.75" customHeight="1">
      <c r="A60" s="136" t="s">
        <v>174</v>
      </c>
      <c r="B60" s="130" t="s">
        <v>134</v>
      </c>
      <c r="C60" s="130" t="s">
        <v>185</v>
      </c>
      <c r="D60" s="130" t="s">
        <v>189</v>
      </c>
      <c r="E60" s="130" t="s">
        <v>258</v>
      </c>
      <c r="F60" s="130" t="s">
        <v>197</v>
      </c>
      <c r="G60" s="287" t="s">
        <v>200</v>
      </c>
      <c r="H60" s="173">
        <f t="shared" si="89"/>
        <v>7020000000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257">
        <f t="shared" si="90"/>
        <v>7020000000</v>
      </c>
      <c r="O60" s="173">
        <v>7020000000</v>
      </c>
      <c r="P60" s="132">
        <v>0</v>
      </c>
      <c r="Q60" s="132">
        <v>0</v>
      </c>
      <c r="R60" s="132">
        <f>-3060000000*0</f>
        <v>0</v>
      </c>
      <c r="S60" s="132">
        <v>0</v>
      </c>
      <c r="T60" s="132">
        <v>0</v>
      </c>
      <c r="U60" s="257">
        <f t="shared" si="91"/>
        <v>7020000000</v>
      </c>
      <c r="V60" s="132">
        <v>3960000000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3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-46705683</v>
      </c>
      <c r="AH60" s="265">
        <f t="shared" si="92"/>
        <v>3913294317</v>
      </c>
      <c r="AI60" s="132">
        <f t="shared" si="93"/>
        <v>0</v>
      </c>
      <c r="AJ60" s="132">
        <f t="shared" si="94"/>
        <v>140963429</v>
      </c>
      <c r="AK60" s="132">
        <f t="shared" si="95"/>
        <v>107316869</v>
      </c>
      <c r="AL60" s="132">
        <f t="shared" si="96"/>
        <v>0</v>
      </c>
      <c r="AM60" s="132">
        <f t="shared" si="97"/>
        <v>92410691</v>
      </c>
      <c r="AN60" s="132">
        <f t="shared" si="98"/>
        <v>86691116</v>
      </c>
      <c r="AO60" s="133">
        <f t="shared" si="99"/>
        <v>57601579</v>
      </c>
      <c r="AP60" s="132">
        <f t="shared" si="100"/>
        <v>2770905</v>
      </c>
      <c r="AQ60" s="132">
        <f t="shared" si="101"/>
        <v>1236000</v>
      </c>
      <c r="AR60" s="132">
        <f t="shared" si="102"/>
        <v>0</v>
      </c>
      <c r="AS60" s="132">
        <f t="shared" si="103"/>
        <v>500308000</v>
      </c>
      <c r="AT60" s="132">
        <f t="shared" si="104"/>
        <v>2923995728</v>
      </c>
      <c r="AU60" s="265">
        <f t="shared" si="105"/>
        <v>3913294317</v>
      </c>
      <c r="AV60" s="173">
        <v>0</v>
      </c>
      <c r="AW60" s="132">
        <v>140963429</v>
      </c>
      <c r="AX60" s="132">
        <v>107316869</v>
      </c>
      <c r="AY60" s="132">
        <v>0</v>
      </c>
      <c r="AZ60" s="132">
        <v>92410691</v>
      </c>
      <c r="BA60" s="132">
        <v>86691116</v>
      </c>
      <c r="BB60" s="133">
        <v>57601579</v>
      </c>
      <c r="BC60" s="132">
        <v>2770905</v>
      </c>
      <c r="BD60" s="132">
        <v>1236000</v>
      </c>
      <c r="BE60" s="132">
        <v>0</v>
      </c>
      <c r="BF60" s="132">
        <v>500308000</v>
      </c>
      <c r="BG60" s="132">
        <v>857148094</v>
      </c>
      <c r="BH60" s="257">
        <f t="shared" si="106"/>
        <v>1846446683</v>
      </c>
      <c r="BI60" s="283">
        <f t="shared" si="107"/>
        <v>3106705683</v>
      </c>
      <c r="BJ60" s="284">
        <f t="shared" si="108"/>
        <v>0</v>
      </c>
      <c r="BK60" s="277">
        <f t="shared" si="109"/>
        <v>2066847634</v>
      </c>
    </row>
    <row r="61" spans="1:63" ht="30.75" customHeight="1">
      <c r="A61" s="136" t="s">
        <v>174</v>
      </c>
      <c r="B61" s="130" t="s">
        <v>134</v>
      </c>
      <c r="C61" s="130" t="s">
        <v>185</v>
      </c>
      <c r="D61" s="130" t="s">
        <v>189</v>
      </c>
      <c r="E61" s="130" t="s">
        <v>201</v>
      </c>
      <c r="F61" s="130" t="s">
        <v>197</v>
      </c>
      <c r="G61" s="287" t="s">
        <v>299</v>
      </c>
      <c r="H61" s="173">
        <f t="shared" si="89"/>
        <v>5000000000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257">
        <f t="shared" si="90"/>
        <v>5000000000</v>
      </c>
      <c r="O61" s="173">
        <v>5000000000</v>
      </c>
      <c r="P61" s="132">
        <v>0</v>
      </c>
      <c r="Q61" s="132">
        <v>0</v>
      </c>
      <c r="R61" s="132">
        <f>-5000000000*0</f>
        <v>0</v>
      </c>
      <c r="S61" s="132">
        <v>0</v>
      </c>
      <c r="T61" s="132">
        <v>0</v>
      </c>
      <c r="U61" s="257">
        <f t="shared" si="91"/>
        <v>5000000000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3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265">
        <f t="shared" si="92"/>
        <v>0</v>
      </c>
      <c r="AI61" s="132">
        <f t="shared" si="93"/>
        <v>0</v>
      </c>
      <c r="AJ61" s="132">
        <f t="shared" si="94"/>
        <v>0</v>
      </c>
      <c r="AK61" s="132">
        <f t="shared" si="95"/>
        <v>0</v>
      </c>
      <c r="AL61" s="132">
        <f t="shared" si="96"/>
        <v>0</v>
      </c>
      <c r="AM61" s="132">
        <f t="shared" si="97"/>
        <v>0</v>
      </c>
      <c r="AN61" s="132">
        <f t="shared" si="98"/>
        <v>0</v>
      </c>
      <c r="AO61" s="133">
        <f t="shared" si="99"/>
        <v>0</v>
      </c>
      <c r="AP61" s="132">
        <f t="shared" si="100"/>
        <v>0</v>
      </c>
      <c r="AQ61" s="132">
        <f t="shared" si="101"/>
        <v>0</v>
      </c>
      <c r="AR61" s="132">
        <f t="shared" si="102"/>
        <v>0</v>
      </c>
      <c r="AS61" s="132">
        <f t="shared" si="103"/>
        <v>0</v>
      </c>
      <c r="AT61" s="132">
        <f t="shared" si="104"/>
        <v>0</v>
      </c>
      <c r="AU61" s="265">
        <f t="shared" si="105"/>
        <v>0</v>
      </c>
      <c r="AV61" s="173">
        <v>0</v>
      </c>
      <c r="AW61" s="132">
        <v>0</v>
      </c>
      <c r="AX61" s="132">
        <v>0</v>
      </c>
      <c r="AY61" s="132">
        <v>0</v>
      </c>
      <c r="AZ61" s="132">
        <v>0</v>
      </c>
      <c r="BA61" s="132">
        <v>0</v>
      </c>
      <c r="BB61" s="133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257">
        <f t="shared" si="106"/>
        <v>0</v>
      </c>
      <c r="BI61" s="283">
        <f t="shared" si="107"/>
        <v>5000000000</v>
      </c>
      <c r="BJ61" s="284">
        <f t="shared" si="108"/>
        <v>0</v>
      </c>
      <c r="BK61" s="277">
        <f t="shared" si="109"/>
        <v>0</v>
      </c>
    </row>
    <row r="62" spans="1:63" ht="30.75" customHeight="1">
      <c r="A62" s="136" t="s">
        <v>174</v>
      </c>
      <c r="B62" s="130" t="s">
        <v>134</v>
      </c>
      <c r="C62" s="130" t="s">
        <v>185</v>
      </c>
      <c r="D62" s="130" t="s">
        <v>189</v>
      </c>
      <c r="E62" s="130" t="s">
        <v>202</v>
      </c>
      <c r="F62" s="130" t="s">
        <v>197</v>
      </c>
      <c r="G62" s="287" t="s">
        <v>203</v>
      </c>
      <c r="H62" s="173">
        <f t="shared" si="89"/>
        <v>918000000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257">
        <f t="shared" si="90"/>
        <v>918000000</v>
      </c>
      <c r="O62" s="173">
        <v>918000000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257">
        <f t="shared" si="91"/>
        <v>918000000</v>
      </c>
      <c r="V62" s="132">
        <v>918000000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3">
        <v>0</v>
      </c>
      <c r="AC62" s="132">
        <v>0</v>
      </c>
      <c r="AD62" s="132">
        <v>0</v>
      </c>
      <c r="AE62" s="132">
        <v>0</v>
      </c>
      <c r="AF62" s="132">
        <v>0</v>
      </c>
      <c r="AG62" s="132">
        <v>0</v>
      </c>
      <c r="AH62" s="265">
        <f t="shared" si="92"/>
        <v>918000000</v>
      </c>
      <c r="AI62" s="132">
        <f t="shared" si="93"/>
        <v>0</v>
      </c>
      <c r="AJ62" s="132">
        <f t="shared" si="94"/>
        <v>0</v>
      </c>
      <c r="AK62" s="132">
        <f t="shared" si="95"/>
        <v>0</v>
      </c>
      <c r="AL62" s="132">
        <f t="shared" si="96"/>
        <v>0</v>
      </c>
      <c r="AM62" s="132">
        <f t="shared" si="97"/>
        <v>0</v>
      </c>
      <c r="AN62" s="132">
        <f t="shared" si="98"/>
        <v>0</v>
      </c>
      <c r="AO62" s="133">
        <f t="shared" si="99"/>
        <v>0</v>
      </c>
      <c r="AP62" s="132">
        <f t="shared" si="100"/>
        <v>0</v>
      </c>
      <c r="AQ62" s="132">
        <f t="shared" si="101"/>
        <v>0</v>
      </c>
      <c r="AR62" s="132">
        <f t="shared" si="102"/>
        <v>0</v>
      </c>
      <c r="AS62" s="132">
        <f t="shared" si="103"/>
        <v>0</v>
      </c>
      <c r="AT62" s="132">
        <f t="shared" si="104"/>
        <v>918000000</v>
      </c>
      <c r="AU62" s="265">
        <f t="shared" si="105"/>
        <v>918000000</v>
      </c>
      <c r="AV62" s="173">
        <v>0</v>
      </c>
      <c r="AW62" s="132">
        <v>0</v>
      </c>
      <c r="AX62" s="132">
        <v>0</v>
      </c>
      <c r="AY62" s="132">
        <v>0</v>
      </c>
      <c r="AZ62" s="132">
        <v>0</v>
      </c>
      <c r="BA62" s="132">
        <v>0</v>
      </c>
      <c r="BB62" s="133">
        <v>0</v>
      </c>
      <c r="BC62" s="132">
        <v>0</v>
      </c>
      <c r="BD62" s="132">
        <v>0</v>
      </c>
      <c r="BE62" s="132">
        <v>0</v>
      </c>
      <c r="BF62" s="132">
        <v>0</v>
      </c>
      <c r="BG62" s="132">
        <v>366430000</v>
      </c>
      <c r="BH62" s="257">
        <f t="shared" si="106"/>
        <v>366430000</v>
      </c>
      <c r="BI62" s="283">
        <f t="shared" si="107"/>
        <v>0</v>
      </c>
      <c r="BJ62" s="284">
        <f t="shared" si="108"/>
        <v>0</v>
      </c>
      <c r="BK62" s="277">
        <f t="shared" si="109"/>
        <v>551570000</v>
      </c>
    </row>
    <row r="63" spans="1:63" ht="30.75" customHeight="1" thickBot="1">
      <c r="A63" s="137" t="s">
        <v>174</v>
      </c>
      <c r="B63" s="138" t="s">
        <v>134</v>
      </c>
      <c r="C63" s="138" t="s">
        <v>185</v>
      </c>
      <c r="D63" s="138" t="s">
        <v>189</v>
      </c>
      <c r="E63" s="138" t="s">
        <v>204</v>
      </c>
      <c r="F63" s="138" t="s">
        <v>197</v>
      </c>
      <c r="G63" s="288" t="s">
        <v>205</v>
      </c>
      <c r="H63" s="174">
        <f t="shared" si="89"/>
        <v>1026000000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258">
        <f t="shared" si="90"/>
        <v>1026000000</v>
      </c>
      <c r="O63" s="174">
        <v>1026000000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258">
        <f t="shared" si="91"/>
        <v>1026000000</v>
      </c>
      <c r="V63" s="141">
        <v>1026000000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2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266">
        <f t="shared" si="92"/>
        <v>1026000000</v>
      </c>
      <c r="AI63" s="141">
        <f t="shared" si="93"/>
        <v>0</v>
      </c>
      <c r="AJ63" s="141">
        <f t="shared" si="94"/>
        <v>0</v>
      </c>
      <c r="AK63" s="141">
        <f t="shared" si="95"/>
        <v>35443000</v>
      </c>
      <c r="AL63" s="141">
        <f t="shared" si="96"/>
        <v>37230520</v>
      </c>
      <c r="AM63" s="141">
        <f t="shared" si="97"/>
        <v>273227851</v>
      </c>
      <c r="AN63" s="141">
        <f t="shared" si="98"/>
        <v>54575120</v>
      </c>
      <c r="AO63" s="142">
        <f t="shared" si="99"/>
        <v>12880000</v>
      </c>
      <c r="AP63" s="141">
        <f t="shared" si="100"/>
        <v>0</v>
      </c>
      <c r="AQ63" s="141">
        <f t="shared" si="101"/>
        <v>0</v>
      </c>
      <c r="AR63" s="141">
        <f t="shared" si="102"/>
        <v>0</v>
      </c>
      <c r="AS63" s="141">
        <f t="shared" si="103"/>
        <v>0</v>
      </c>
      <c r="AT63" s="141">
        <f t="shared" si="104"/>
        <v>612643509</v>
      </c>
      <c r="AU63" s="266">
        <f t="shared" si="105"/>
        <v>1026000000</v>
      </c>
      <c r="AV63" s="174">
        <v>0</v>
      </c>
      <c r="AW63" s="141">
        <v>0</v>
      </c>
      <c r="AX63" s="141">
        <v>35443000</v>
      </c>
      <c r="AY63" s="141">
        <v>37230520</v>
      </c>
      <c r="AZ63" s="141">
        <v>273227851</v>
      </c>
      <c r="BA63" s="141">
        <v>54575120</v>
      </c>
      <c r="BB63" s="142">
        <v>12880000</v>
      </c>
      <c r="BC63" s="141">
        <v>0</v>
      </c>
      <c r="BD63" s="141">
        <v>0</v>
      </c>
      <c r="BE63" s="141">
        <v>0</v>
      </c>
      <c r="BF63" s="141">
        <v>0</v>
      </c>
      <c r="BG63" s="141">
        <v>376057637</v>
      </c>
      <c r="BH63" s="258">
        <f t="shared" si="106"/>
        <v>789414128</v>
      </c>
      <c r="BI63" s="285">
        <f t="shared" si="107"/>
        <v>0</v>
      </c>
      <c r="BJ63" s="286">
        <f t="shared" si="108"/>
        <v>0</v>
      </c>
      <c r="BK63" s="280">
        <f t="shared" si="109"/>
        <v>236585872</v>
      </c>
    </row>
    <row r="65" spans="1:63" ht="12.75">
      <c r="A65" s="100" t="s">
        <v>206</v>
      </c>
      <c r="B65" s="100"/>
      <c r="C65" s="100"/>
      <c r="D65" s="100"/>
      <c r="E65" s="100"/>
      <c r="F65" s="100"/>
      <c r="G65" s="105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106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106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6"/>
      <c r="BC65" s="99"/>
      <c r="BD65" s="99"/>
      <c r="BE65" s="99"/>
      <c r="BF65" s="99"/>
      <c r="BG65" s="99"/>
      <c r="BH65" s="99"/>
      <c r="BI65" s="99"/>
      <c r="BJ65" s="99"/>
      <c r="BK65" s="99"/>
    </row>
    <row r="66" ht="13.5" thickBot="1"/>
    <row r="67" spans="1:63" ht="12.75">
      <c r="A67" s="37"/>
      <c r="B67" s="37"/>
      <c r="C67" s="37"/>
      <c r="D67" s="37"/>
      <c r="E67" s="37"/>
      <c r="F67" s="37"/>
      <c r="G67" s="201" t="s">
        <v>207</v>
      </c>
      <c r="H67" s="221">
        <f aca="true" t="shared" si="110" ref="H67:AM67">H10+H41</f>
        <v>126528825769</v>
      </c>
      <c r="I67" s="202">
        <f t="shared" si="110"/>
        <v>-145000000</v>
      </c>
      <c r="J67" s="202">
        <f t="shared" si="110"/>
        <v>145000000</v>
      </c>
      <c r="K67" s="202">
        <f t="shared" si="110"/>
        <v>0</v>
      </c>
      <c r="L67" s="202">
        <f t="shared" si="110"/>
        <v>0</v>
      </c>
      <c r="M67" s="202">
        <f t="shared" si="110"/>
        <v>3886400000</v>
      </c>
      <c r="N67" s="204">
        <f t="shared" si="110"/>
        <v>130415225769</v>
      </c>
      <c r="O67" s="221">
        <f t="shared" si="110"/>
        <v>126800678140</v>
      </c>
      <c r="P67" s="202">
        <f t="shared" si="110"/>
        <v>-3878678196</v>
      </c>
      <c r="Q67" s="202">
        <f t="shared" si="110"/>
        <v>3878678196</v>
      </c>
      <c r="R67" s="202">
        <f t="shared" si="110"/>
        <v>0</v>
      </c>
      <c r="S67" s="202">
        <f t="shared" si="110"/>
        <v>-271852371</v>
      </c>
      <c r="T67" s="202">
        <f t="shared" si="110"/>
        <v>3886400000</v>
      </c>
      <c r="U67" s="204">
        <f t="shared" si="110"/>
        <v>130415225769</v>
      </c>
      <c r="V67" s="221">
        <f t="shared" si="110"/>
        <v>110012453638</v>
      </c>
      <c r="W67" s="202">
        <f t="shared" si="110"/>
        <v>1503070143</v>
      </c>
      <c r="X67" s="202">
        <f t="shared" si="110"/>
        <v>1266190090</v>
      </c>
      <c r="Y67" s="202">
        <f t="shared" si="110"/>
        <v>1148381589</v>
      </c>
      <c r="Z67" s="202">
        <f t="shared" si="110"/>
        <v>1509508982</v>
      </c>
      <c r="AA67" s="202">
        <f t="shared" si="110"/>
        <v>1884389748</v>
      </c>
      <c r="AB67" s="203">
        <f t="shared" si="110"/>
        <v>1392198620</v>
      </c>
      <c r="AC67" s="202">
        <f t="shared" si="110"/>
        <v>824437051</v>
      </c>
      <c r="AD67" s="202">
        <f t="shared" si="110"/>
        <v>1164296021</v>
      </c>
      <c r="AE67" s="202">
        <f t="shared" si="110"/>
        <v>1053197024</v>
      </c>
      <c r="AF67" s="202">
        <f t="shared" si="110"/>
        <v>868828379</v>
      </c>
      <c r="AG67" s="202">
        <f t="shared" si="110"/>
        <v>-4931160743</v>
      </c>
      <c r="AH67" s="204">
        <f t="shared" si="110"/>
        <v>117695790542</v>
      </c>
      <c r="AI67" s="221">
        <f t="shared" si="110"/>
        <v>509567790</v>
      </c>
      <c r="AJ67" s="202">
        <f t="shared" si="110"/>
        <v>6332811984</v>
      </c>
      <c r="AK67" s="202">
        <f t="shared" si="110"/>
        <v>11473364243</v>
      </c>
      <c r="AL67" s="202">
        <f t="shared" si="110"/>
        <v>12693636001</v>
      </c>
      <c r="AM67" s="202">
        <f t="shared" si="110"/>
        <v>5413597680</v>
      </c>
      <c r="AN67" s="202">
        <f aca="true" t="shared" si="111" ref="AN67:BK67">AN10+AN41</f>
        <v>10129724038</v>
      </c>
      <c r="AO67" s="203">
        <f t="shared" si="111"/>
        <v>12035187904</v>
      </c>
      <c r="AP67" s="202">
        <f t="shared" si="111"/>
        <v>10692726920</v>
      </c>
      <c r="AQ67" s="202">
        <f t="shared" si="111"/>
        <v>14112774895</v>
      </c>
      <c r="AR67" s="202">
        <f t="shared" si="111"/>
        <v>11522909186</v>
      </c>
      <c r="AS67" s="202">
        <f t="shared" si="111"/>
        <v>5244763330</v>
      </c>
      <c r="AT67" s="202">
        <f t="shared" si="111"/>
        <v>15972730286</v>
      </c>
      <c r="AU67" s="204">
        <f t="shared" si="111"/>
        <v>116133794257</v>
      </c>
      <c r="AV67" s="202">
        <f t="shared" si="111"/>
        <v>509567790</v>
      </c>
      <c r="AW67" s="202">
        <f t="shared" si="111"/>
        <v>6332811984</v>
      </c>
      <c r="AX67" s="202">
        <f t="shared" si="111"/>
        <v>11473364243</v>
      </c>
      <c r="AY67" s="202">
        <f t="shared" si="111"/>
        <v>12693636001</v>
      </c>
      <c r="AZ67" s="202">
        <f t="shared" si="111"/>
        <v>5413597680</v>
      </c>
      <c r="BA67" s="202">
        <f t="shared" si="111"/>
        <v>10129724038</v>
      </c>
      <c r="BB67" s="203">
        <f t="shared" si="111"/>
        <v>12035187904</v>
      </c>
      <c r="BC67" s="202">
        <f t="shared" si="111"/>
        <v>10692726920</v>
      </c>
      <c r="BD67" s="202">
        <f t="shared" si="111"/>
        <v>14112774895</v>
      </c>
      <c r="BE67" s="202">
        <f t="shared" si="111"/>
        <v>11522909186</v>
      </c>
      <c r="BF67" s="202">
        <f t="shared" si="111"/>
        <v>5244763330</v>
      </c>
      <c r="BG67" s="202">
        <f t="shared" si="111"/>
        <v>13602851409</v>
      </c>
      <c r="BH67" s="202">
        <f t="shared" si="111"/>
        <v>113763915380</v>
      </c>
      <c r="BI67" s="221">
        <f t="shared" si="111"/>
        <v>12719435227</v>
      </c>
      <c r="BJ67" s="248">
        <f t="shared" si="111"/>
        <v>1561996285</v>
      </c>
      <c r="BK67" s="204">
        <f t="shared" si="111"/>
        <v>2369878877</v>
      </c>
    </row>
    <row r="68" spans="1:63" ht="13.5" thickBot="1">
      <c r="A68" s="37"/>
      <c r="B68" s="37"/>
      <c r="C68" s="37"/>
      <c r="D68" s="37"/>
      <c r="E68" s="37"/>
      <c r="F68" s="37"/>
      <c r="G68" s="205" t="s">
        <v>208</v>
      </c>
      <c r="H68" s="222">
        <f aca="true" t="shared" si="112" ref="H68:AI68">H55</f>
        <v>22882000000</v>
      </c>
      <c r="I68" s="206">
        <f t="shared" si="112"/>
        <v>0</v>
      </c>
      <c r="J68" s="206">
        <f t="shared" si="112"/>
        <v>0</v>
      </c>
      <c r="K68" s="206">
        <f t="shared" si="112"/>
        <v>0</v>
      </c>
      <c r="L68" s="206">
        <f t="shared" si="112"/>
        <v>0</v>
      </c>
      <c r="M68" s="206">
        <f t="shared" si="112"/>
        <v>0</v>
      </c>
      <c r="N68" s="208">
        <f t="shared" si="112"/>
        <v>22882000000</v>
      </c>
      <c r="O68" s="222">
        <f t="shared" si="112"/>
        <v>22882000000</v>
      </c>
      <c r="P68" s="206">
        <f t="shared" si="112"/>
        <v>0</v>
      </c>
      <c r="Q68" s="206">
        <f t="shared" si="112"/>
        <v>0</v>
      </c>
      <c r="R68" s="206">
        <f t="shared" si="112"/>
        <v>0</v>
      </c>
      <c r="S68" s="206">
        <f t="shared" si="112"/>
        <v>0</v>
      </c>
      <c r="T68" s="206">
        <f t="shared" si="112"/>
        <v>0</v>
      </c>
      <c r="U68" s="208">
        <f t="shared" si="112"/>
        <v>22882000000</v>
      </c>
      <c r="V68" s="222">
        <f t="shared" si="112"/>
        <v>13904000000</v>
      </c>
      <c r="W68" s="206">
        <f t="shared" si="112"/>
        <v>0</v>
      </c>
      <c r="X68" s="206">
        <f t="shared" si="112"/>
        <v>0</v>
      </c>
      <c r="Y68" s="206">
        <f t="shared" si="112"/>
        <v>0</v>
      </c>
      <c r="Z68" s="206">
        <f t="shared" si="112"/>
        <v>0</v>
      </c>
      <c r="AA68" s="206">
        <f t="shared" si="112"/>
        <v>0</v>
      </c>
      <c r="AB68" s="207">
        <f t="shared" si="112"/>
        <v>0</v>
      </c>
      <c r="AC68" s="206">
        <f t="shared" si="112"/>
        <v>0</v>
      </c>
      <c r="AD68" s="206">
        <f t="shared" si="112"/>
        <v>0</v>
      </c>
      <c r="AE68" s="206">
        <f t="shared" si="112"/>
        <v>0</v>
      </c>
      <c r="AF68" s="206">
        <f t="shared" si="112"/>
        <v>0</v>
      </c>
      <c r="AG68" s="206">
        <f t="shared" si="112"/>
        <v>-46705683</v>
      </c>
      <c r="AH68" s="208">
        <f t="shared" si="112"/>
        <v>13857294317</v>
      </c>
      <c r="AI68" s="222">
        <f t="shared" si="112"/>
        <v>0</v>
      </c>
      <c r="AJ68" s="206">
        <f aca="true" t="shared" si="113" ref="AJ68:AT68">AJ55</f>
        <v>989808429</v>
      </c>
      <c r="AK68" s="206">
        <f t="shared" si="113"/>
        <v>1443962968</v>
      </c>
      <c r="AL68" s="206">
        <f t="shared" si="113"/>
        <v>37292520</v>
      </c>
      <c r="AM68" s="206">
        <f t="shared" si="113"/>
        <v>365738542</v>
      </c>
      <c r="AN68" s="206">
        <f t="shared" si="113"/>
        <v>141266236</v>
      </c>
      <c r="AO68" s="207">
        <f t="shared" si="113"/>
        <v>1650877856</v>
      </c>
      <c r="AP68" s="206">
        <f t="shared" si="113"/>
        <v>33590905</v>
      </c>
      <c r="AQ68" s="206">
        <f t="shared" si="113"/>
        <v>1236000</v>
      </c>
      <c r="AR68" s="206">
        <f t="shared" si="113"/>
        <v>0</v>
      </c>
      <c r="AS68" s="206">
        <f t="shared" si="113"/>
        <v>500308000</v>
      </c>
      <c r="AT68" s="206">
        <f t="shared" si="113"/>
        <v>8693212861</v>
      </c>
      <c r="AU68" s="208">
        <f aca="true" t="shared" si="114" ref="AU68:BK68">AU55</f>
        <v>13857294317</v>
      </c>
      <c r="AV68" s="206">
        <f t="shared" si="114"/>
        <v>0</v>
      </c>
      <c r="AW68" s="206">
        <f t="shared" si="114"/>
        <v>989808429</v>
      </c>
      <c r="AX68" s="206">
        <f t="shared" si="114"/>
        <v>1443962968</v>
      </c>
      <c r="AY68" s="206">
        <f t="shared" si="114"/>
        <v>37292520</v>
      </c>
      <c r="AZ68" s="206">
        <f t="shared" si="114"/>
        <v>365738542</v>
      </c>
      <c r="BA68" s="206">
        <f t="shared" si="114"/>
        <v>141266236</v>
      </c>
      <c r="BB68" s="207">
        <f t="shared" si="114"/>
        <v>1650877856</v>
      </c>
      <c r="BC68" s="206">
        <f t="shared" si="114"/>
        <v>33590905</v>
      </c>
      <c r="BD68" s="206">
        <f t="shared" si="114"/>
        <v>1236000</v>
      </c>
      <c r="BE68" s="206">
        <f t="shared" si="114"/>
        <v>0</v>
      </c>
      <c r="BF68" s="206">
        <f t="shared" si="114"/>
        <v>500308000</v>
      </c>
      <c r="BG68" s="206">
        <f t="shared" si="114"/>
        <v>1599635731</v>
      </c>
      <c r="BH68" s="206">
        <f t="shared" si="114"/>
        <v>6763717187</v>
      </c>
      <c r="BI68" s="222">
        <f t="shared" si="114"/>
        <v>9024705683</v>
      </c>
      <c r="BJ68" s="249">
        <f>BJ55</f>
        <v>0</v>
      </c>
      <c r="BK68" s="208">
        <f t="shared" si="114"/>
        <v>7093577130</v>
      </c>
    </row>
    <row r="69" ht="13.5" thickBot="1"/>
    <row r="70" spans="1:63" ht="12.75">
      <c r="A70" s="37"/>
      <c r="B70" s="37"/>
      <c r="C70" s="37"/>
      <c r="D70" s="37"/>
      <c r="E70" s="37"/>
      <c r="F70" s="37"/>
      <c r="G70" s="209" t="s">
        <v>133</v>
      </c>
      <c r="H70" s="223">
        <f aca="true" t="shared" si="115" ref="H70:AI70">H10</f>
        <v>15351476769</v>
      </c>
      <c r="I70" s="210">
        <f t="shared" si="115"/>
        <v>-145000000</v>
      </c>
      <c r="J70" s="210">
        <f t="shared" si="115"/>
        <v>145000000</v>
      </c>
      <c r="K70" s="210">
        <f t="shared" si="115"/>
        <v>0</v>
      </c>
      <c r="L70" s="210">
        <f t="shared" si="115"/>
        <v>0</v>
      </c>
      <c r="M70" s="210">
        <f t="shared" si="115"/>
        <v>3046100000</v>
      </c>
      <c r="N70" s="212">
        <f t="shared" si="115"/>
        <v>18397576769</v>
      </c>
      <c r="O70" s="223">
        <f t="shared" si="115"/>
        <v>15623329140</v>
      </c>
      <c r="P70" s="210">
        <f t="shared" si="115"/>
        <v>-3878678196</v>
      </c>
      <c r="Q70" s="210">
        <f t="shared" si="115"/>
        <v>3878678196</v>
      </c>
      <c r="R70" s="210">
        <f t="shared" si="115"/>
        <v>0</v>
      </c>
      <c r="S70" s="210">
        <f t="shared" si="115"/>
        <v>-271852371</v>
      </c>
      <c r="T70" s="210">
        <f t="shared" si="115"/>
        <v>3046100000</v>
      </c>
      <c r="U70" s="212">
        <f t="shared" si="115"/>
        <v>18397576769</v>
      </c>
      <c r="V70" s="223">
        <f t="shared" si="115"/>
        <v>835104638</v>
      </c>
      <c r="W70" s="210">
        <f t="shared" si="115"/>
        <v>1474384343</v>
      </c>
      <c r="X70" s="210">
        <f t="shared" si="115"/>
        <v>1137738448</v>
      </c>
      <c r="Y70" s="210">
        <f t="shared" si="115"/>
        <v>999031379</v>
      </c>
      <c r="Z70" s="210">
        <f t="shared" si="115"/>
        <v>977503917</v>
      </c>
      <c r="AA70" s="210">
        <f t="shared" si="115"/>
        <v>1330227758</v>
      </c>
      <c r="AB70" s="211">
        <f t="shared" si="115"/>
        <v>1049735637</v>
      </c>
      <c r="AC70" s="210">
        <f t="shared" si="115"/>
        <v>911123099</v>
      </c>
      <c r="AD70" s="210">
        <f t="shared" si="115"/>
        <v>1167323679</v>
      </c>
      <c r="AE70" s="210">
        <f t="shared" si="115"/>
        <v>1053197024</v>
      </c>
      <c r="AF70" s="210">
        <f t="shared" si="115"/>
        <v>803633379</v>
      </c>
      <c r="AG70" s="210">
        <f t="shared" si="115"/>
        <v>5628214165</v>
      </c>
      <c r="AH70" s="212">
        <f t="shared" si="115"/>
        <v>17367217466</v>
      </c>
      <c r="AI70" s="223">
        <f t="shared" si="115"/>
        <v>489439686</v>
      </c>
      <c r="AJ70" s="210">
        <f aca="true" t="shared" si="116" ref="AJ70:AT70">AJ10</f>
        <v>935104376</v>
      </c>
      <c r="AK70" s="210">
        <f t="shared" si="116"/>
        <v>838950636</v>
      </c>
      <c r="AL70" s="210">
        <f t="shared" si="116"/>
        <v>1441619783</v>
      </c>
      <c r="AM70" s="210">
        <f t="shared" si="116"/>
        <v>1022058886</v>
      </c>
      <c r="AN70" s="210">
        <f t="shared" si="116"/>
        <v>1371584821</v>
      </c>
      <c r="AO70" s="211">
        <f t="shared" si="116"/>
        <v>1070948043</v>
      </c>
      <c r="AP70" s="210">
        <f t="shared" si="116"/>
        <v>966200828</v>
      </c>
      <c r="AQ70" s="210">
        <f t="shared" si="116"/>
        <v>1250983258</v>
      </c>
      <c r="AR70" s="210">
        <f t="shared" si="116"/>
        <v>954641654</v>
      </c>
      <c r="AS70" s="210">
        <f t="shared" si="116"/>
        <v>859016389</v>
      </c>
      <c r="AT70" s="210">
        <f t="shared" si="116"/>
        <v>6166669106</v>
      </c>
      <c r="AU70" s="212">
        <f aca="true" t="shared" si="117" ref="AU70:BK70">AU10</f>
        <v>17367217466</v>
      </c>
      <c r="AV70" s="223">
        <f t="shared" si="117"/>
        <v>489439686</v>
      </c>
      <c r="AW70" s="210">
        <f t="shared" si="117"/>
        <v>935104376</v>
      </c>
      <c r="AX70" s="210">
        <f t="shared" si="117"/>
        <v>838950636</v>
      </c>
      <c r="AY70" s="210">
        <f t="shared" si="117"/>
        <v>1441619783</v>
      </c>
      <c r="AZ70" s="210">
        <f t="shared" si="117"/>
        <v>1022058886</v>
      </c>
      <c r="BA70" s="210">
        <f t="shared" si="117"/>
        <v>1371584821</v>
      </c>
      <c r="BB70" s="211">
        <f t="shared" si="117"/>
        <v>1070948043</v>
      </c>
      <c r="BC70" s="210">
        <f t="shared" si="117"/>
        <v>966200828</v>
      </c>
      <c r="BD70" s="210">
        <f t="shared" si="117"/>
        <v>1250983258</v>
      </c>
      <c r="BE70" s="210">
        <f t="shared" si="117"/>
        <v>954641654</v>
      </c>
      <c r="BF70" s="210">
        <f t="shared" si="117"/>
        <v>859016389</v>
      </c>
      <c r="BG70" s="210">
        <f t="shared" si="117"/>
        <v>5157096581</v>
      </c>
      <c r="BH70" s="212">
        <f t="shared" si="117"/>
        <v>16357644941</v>
      </c>
      <c r="BI70" s="223">
        <f t="shared" si="117"/>
        <v>1030359303</v>
      </c>
      <c r="BJ70" s="250">
        <f>BJ10</f>
        <v>0</v>
      </c>
      <c r="BK70" s="212">
        <f t="shared" si="117"/>
        <v>1009572525</v>
      </c>
    </row>
    <row r="71" spans="1:63" ht="13.5" thickBot="1">
      <c r="A71" s="37"/>
      <c r="B71" s="37"/>
      <c r="C71" s="37"/>
      <c r="D71" s="37"/>
      <c r="E71" s="37"/>
      <c r="F71" s="37"/>
      <c r="G71" s="213" t="s">
        <v>175</v>
      </c>
      <c r="H71" s="224">
        <f aca="true" t="shared" si="118" ref="H71:AI71">H37</f>
        <v>134059349000</v>
      </c>
      <c r="I71" s="214">
        <f t="shared" si="118"/>
        <v>0</v>
      </c>
      <c r="J71" s="214">
        <f t="shared" si="118"/>
        <v>0</v>
      </c>
      <c r="K71" s="214">
        <f t="shared" si="118"/>
        <v>0</v>
      </c>
      <c r="L71" s="214">
        <f t="shared" si="118"/>
        <v>0</v>
      </c>
      <c r="M71" s="214">
        <f t="shared" si="118"/>
        <v>840300000</v>
      </c>
      <c r="N71" s="216">
        <f t="shared" si="118"/>
        <v>134899649000</v>
      </c>
      <c r="O71" s="224">
        <f t="shared" si="118"/>
        <v>134059349000</v>
      </c>
      <c r="P71" s="214">
        <f t="shared" si="118"/>
        <v>0</v>
      </c>
      <c r="Q71" s="214">
        <f t="shared" si="118"/>
        <v>0</v>
      </c>
      <c r="R71" s="214">
        <f t="shared" si="118"/>
        <v>0</v>
      </c>
      <c r="S71" s="214">
        <f t="shared" si="118"/>
        <v>0</v>
      </c>
      <c r="T71" s="214">
        <f t="shared" si="118"/>
        <v>840300000</v>
      </c>
      <c r="U71" s="216">
        <f t="shared" si="118"/>
        <v>134899649000</v>
      </c>
      <c r="V71" s="224">
        <f t="shared" si="118"/>
        <v>123081349000</v>
      </c>
      <c r="W71" s="214">
        <f t="shared" si="118"/>
        <v>28685800</v>
      </c>
      <c r="X71" s="214">
        <f t="shared" si="118"/>
        <v>128451642</v>
      </c>
      <c r="Y71" s="214">
        <f t="shared" si="118"/>
        <v>149350210</v>
      </c>
      <c r="Z71" s="214">
        <f t="shared" si="118"/>
        <v>532005065</v>
      </c>
      <c r="AA71" s="214">
        <f t="shared" si="118"/>
        <v>554161990</v>
      </c>
      <c r="AB71" s="215">
        <f t="shared" si="118"/>
        <v>342462983</v>
      </c>
      <c r="AC71" s="214">
        <f t="shared" si="118"/>
        <v>-86686048</v>
      </c>
      <c r="AD71" s="214">
        <f t="shared" si="118"/>
        <v>-3027658</v>
      </c>
      <c r="AE71" s="214">
        <f t="shared" si="118"/>
        <v>0</v>
      </c>
      <c r="AF71" s="214">
        <f t="shared" si="118"/>
        <v>65195000</v>
      </c>
      <c r="AG71" s="214">
        <f t="shared" si="118"/>
        <v>-10606080591</v>
      </c>
      <c r="AH71" s="216">
        <f t="shared" si="118"/>
        <v>114185867393</v>
      </c>
      <c r="AI71" s="224">
        <f t="shared" si="118"/>
        <v>20128104</v>
      </c>
      <c r="AJ71" s="214">
        <f aca="true" t="shared" si="119" ref="AJ71:AT71">AJ37</f>
        <v>6387516037</v>
      </c>
      <c r="AK71" s="214">
        <f t="shared" si="119"/>
        <v>12078376575</v>
      </c>
      <c r="AL71" s="214">
        <f t="shared" si="119"/>
        <v>11289308738</v>
      </c>
      <c r="AM71" s="214">
        <f t="shared" si="119"/>
        <v>4757277336</v>
      </c>
      <c r="AN71" s="214">
        <f t="shared" si="119"/>
        <v>8899405453</v>
      </c>
      <c r="AO71" s="215">
        <f t="shared" si="119"/>
        <v>12615117717</v>
      </c>
      <c r="AP71" s="214">
        <f t="shared" si="119"/>
        <v>9760116997</v>
      </c>
      <c r="AQ71" s="214">
        <f t="shared" si="119"/>
        <v>12863027637</v>
      </c>
      <c r="AR71" s="214">
        <f t="shared" si="119"/>
        <v>10568267532</v>
      </c>
      <c r="AS71" s="214">
        <f t="shared" si="119"/>
        <v>4886054941</v>
      </c>
      <c r="AT71" s="214">
        <f t="shared" si="119"/>
        <v>18499274041</v>
      </c>
      <c r="AU71" s="216">
        <f aca="true" t="shared" si="120" ref="AU71:BK71">AU37</f>
        <v>112623871108</v>
      </c>
      <c r="AV71" s="224">
        <f t="shared" si="120"/>
        <v>20128104</v>
      </c>
      <c r="AW71" s="214">
        <f t="shared" si="120"/>
        <v>6387516037</v>
      </c>
      <c r="AX71" s="214">
        <f t="shared" si="120"/>
        <v>12078376575</v>
      </c>
      <c r="AY71" s="214">
        <f t="shared" si="120"/>
        <v>11289308738</v>
      </c>
      <c r="AZ71" s="214">
        <f t="shared" si="120"/>
        <v>4757277336</v>
      </c>
      <c r="BA71" s="214">
        <f t="shared" si="120"/>
        <v>8899405453</v>
      </c>
      <c r="BB71" s="215">
        <f t="shared" si="120"/>
        <v>12615117717</v>
      </c>
      <c r="BC71" s="214">
        <f t="shared" si="120"/>
        <v>9760116997</v>
      </c>
      <c r="BD71" s="214">
        <f t="shared" si="120"/>
        <v>12863027637</v>
      </c>
      <c r="BE71" s="214">
        <f t="shared" si="120"/>
        <v>10568267532</v>
      </c>
      <c r="BF71" s="214">
        <f t="shared" si="120"/>
        <v>4886054941</v>
      </c>
      <c r="BG71" s="214">
        <f t="shared" si="120"/>
        <v>10045390559</v>
      </c>
      <c r="BH71" s="216">
        <f t="shared" si="120"/>
        <v>104169987626</v>
      </c>
      <c r="BI71" s="224">
        <f t="shared" si="120"/>
        <v>20713781607</v>
      </c>
      <c r="BJ71" s="251">
        <f>BJ37</f>
        <v>1561996285</v>
      </c>
      <c r="BK71" s="216">
        <f t="shared" si="120"/>
        <v>8453883482</v>
      </c>
    </row>
    <row r="72" ht="13.5" thickBot="1"/>
    <row r="73" spans="1:63" ht="13.5" thickBot="1">
      <c r="A73" s="37"/>
      <c r="B73" s="37"/>
      <c r="C73" s="37"/>
      <c r="D73" s="37"/>
      <c r="E73" s="37"/>
      <c r="F73" s="37"/>
      <c r="G73" s="217" t="s">
        <v>209</v>
      </c>
      <c r="H73" s="225">
        <f>SUM(H67:H71)/2</f>
        <v>149410825769</v>
      </c>
      <c r="I73" s="218">
        <f aca="true" t="shared" si="121" ref="I73:X73">SUM(I67:I71)/2</f>
        <v>-145000000</v>
      </c>
      <c r="J73" s="218">
        <f t="shared" si="121"/>
        <v>145000000</v>
      </c>
      <c r="K73" s="218">
        <f t="shared" si="121"/>
        <v>0</v>
      </c>
      <c r="L73" s="218">
        <f t="shared" si="121"/>
        <v>0</v>
      </c>
      <c r="M73" s="218">
        <f t="shared" si="121"/>
        <v>3886400000</v>
      </c>
      <c r="N73" s="220">
        <f t="shared" si="121"/>
        <v>153297225769</v>
      </c>
      <c r="O73" s="225">
        <f t="shared" si="121"/>
        <v>149682678140</v>
      </c>
      <c r="P73" s="218">
        <f t="shared" si="121"/>
        <v>-3878678196</v>
      </c>
      <c r="Q73" s="218">
        <f t="shared" si="121"/>
        <v>3878678196</v>
      </c>
      <c r="R73" s="218">
        <f t="shared" si="121"/>
        <v>0</v>
      </c>
      <c r="S73" s="218">
        <f t="shared" si="121"/>
        <v>-271852371</v>
      </c>
      <c r="T73" s="218">
        <f t="shared" si="121"/>
        <v>3886400000</v>
      </c>
      <c r="U73" s="220">
        <f t="shared" si="121"/>
        <v>153297225769</v>
      </c>
      <c r="V73" s="225">
        <f t="shared" si="121"/>
        <v>123916453638</v>
      </c>
      <c r="W73" s="218">
        <f t="shared" si="121"/>
        <v>1503070143</v>
      </c>
      <c r="X73" s="218">
        <f t="shared" si="121"/>
        <v>1266190090</v>
      </c>
      <c r="Y73" s="218">
        <f aca="true" t="shared" si="122" ref="Y73:AI73">SUM(Y67:Y71)/2</f>
        <v>1148381589</v>
      </c>
      <c r="Z73" s="218">
        <f t="shared" si="122"/>
        <v>1509508982</v>
      </c>
      <c r="AA73" s="218">
        <f t="shared" si="122"/>
        <v>1884389748</v>
      </c>
      <c r="AB73" s="219">
        <f t="shared" si="122"/>
        <v>1392198620</v>
      </c>
      <c r="AC73" s="218">
        <f t="shared" si="122"/>
        <v>824437051</v>
      </c>
      <c r="AD73" s="218">
        <f t="shared" si="122"/>
        <v>1164296021</v>
      </c>
      <c r="AE73" s="218">
        <f t="shared" si="122"/>
        <v>1053197024</v>
      </c>
      <c r="AF73" s="218">
        <f t="shared" si="122"/>
        <v>868828379</v>
      </c>
      <c r="AG73" s="218">
        <f t="shared" si="122"/>
        <v>-4977866426</v>
      </c>
      <c r="AH73" s="220">
        <f t="shared" si="122"/>
        <v>131553084859</v>
      </c>
      <c r="AI73" s="225">
        <f t="shared" si="122"/>
        <v>509567790</v>
      </c>
      <c r="AJ73" s="218">
        <f aca="true" t="shared" si="123" ref="AJ73:AT73">SUM(AJ67:AJ71)/2</f>
        <v>7322620413</v>
      </c>
      <c r="AK73" s="218">
        <f t="shared" si="123"/>
        <v>12917327211</v>
      </c>
      <c r="AL73" s="218">
        <f t="shared" si="123"/>
        <v>12730928521</v>
      </c>
      <c r="AM73" s="218">
        <f t="shared" si="123"/>
        <v>5779336222</v>
      </c>
      <c r="AN73" s="218">
        <f t="shared" si="123"/>
        <v>10270990274</v>
      </c>
      <c r="AO73" s="219">
        <f t="shared" si="123"/>
        <v>13686065760</v>
      </c>
      <c r="AP73" s="218">
        <f t="shared" si="123"/>
        <v>10726317825</v>
      </c>
      <c r="AQ73" s="218">
        <f t="shared" si="123"/>
        <v>14114010895</v>
      </c>
      <c r="AR73" s="218">
        <f t="shared" si="123"/>
        <v>11522909186</v>
      </c>
      <c r="AS73" s="218">
        <f t="shared" si="123"/>
        <v>5745071330</v>
      </c>
      <c r="AT73" s="218">
        <f t="shared" si="123"/>
        <v>24665943147</v>
      </c>
      <c r="AU73" s="220">
        <f>SUM(AU67:AU71)/2</f>
        <v>129991088574</v>
      </c>
      <c r="AV73" s="225">
        <f aca="true" t="shared" si="124" ref="AV73:BA73">SUM(AV67:AV71)/2</f>
        <v>509567790</v>
      </c>
      <c r="AW73" s="218">
        <f t="shared" si="124"/>
        <v>7322620413</v>
      </c>
      <c r="AX73" s="218">
        <f t="shared" si="124"/>
        <v>12917327211</v>
      </c>
      <c r="AY73" s="218">
        <f t="shared" si="124"/>
        <v>12730928521</v>
      </c>
      <c r="AZ73" s="218">
        <f t="shared" si="124"/>
        <v>5779336222</v>
      </c>
      <c r="BA73" s="218">
        <f t="shared" si="124"/>
        <v>10270990274</v>
      </c>
      <c r="BB73" s="219">
        <f aca="true" t="shared" si="125" ref="BB73:BK73">SUM(BB67:BB71)/2</f>
        <v>13686065760</v>
      </c>
      <c r="BC73" s="218">
        <f t="shared" si="125"/>
        <v>10726317825</v>
      </c>
      <c r="BD73" s="218">
        <f t="shared" si="125"/>
        <v>14114010895</v>
      </c>
      <c r="BE73" s="218">
        <f t="shared" si="125"/>
        <v>11522909186</v>
      </c>
      <c r="BF73" s="218">
        <f t="shared" si="125"/>
        <v>5745071330</v>
      </c>
      <c r="BG73" s="218">
        <f t="shared" si="125"/>
        <v>15202487140</v>
      </c>
      <c r="BH73" s="220">
        <f t="shared" si="125"/>
        <v>120527632567</v>
      </c>
      <c r="BI73" s="225">
        <f t="shared" si="125"/>
        <v>21744140910</v>
      </c>
      <c r="BJ73" s="252">
        <f>SUM(BJ67:BJ71)/2</f>
        <v>1561996285</v>
      </c>
      <c r="BK73" s="220">
        <f t="shared" si="125"/>
        <v>9463456007</v>
      </c>
    </row>
  </sheetData>
  <printOptions horizontalCentered="1" verticalCentered="1"/>
  <pageMargins left="0.4724409448818898" right="0.4724409448818898" top="0.7874015748031497" bottom="0.6299212598425197" header="0.4724409448818898" footer="0.2755905511811024"/>
  <pageSetup fitToHeight="2" horizontalDpi="300" verticalDpi="300" orientation="landscape" paperSize="9" scale="42" r:id="rId2"/>
  <headerFooter alignWithMargins="0">
    <oddHeader>&amp;LGPR-&amp;D&amp;C&amp;16INFORME &amp;18EJECUCIÓN DE GASTOS - VIGENCIA 2002&amp;RPág. &amp;P/&amp;N</oddHeader>
    <oddFooter xml:space="preserve">&amp;L&amp;16JORGE NELSON GAITAN LEON
Jefe de Presupuesto&amp;C&amp;16MARTA LUCIA VILLEGAS  BOTERO 
Directora General &amp;R&amp;16JOSE LUIS ACERO COLMENARES
Subdirector  Financiero </oddFooter>
  </headerFooter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52"/>
  <sheetViews>
    <sheetView showGridLines="0" zoomScale="75" zoomScaleNormal="75" workbookViewId="0" topLeftCell="A1">
      <selection activeCell="A1" sqref="A1"/>
    </sheetView>
  </sheetViews>
  <sheetFormatPr defaultColWidth="18.7109375" defaultRowHeight="19.5" customHeight="1"/>
  <cols>
    <col min="1" max="1" width="3.140625" style="294" customWidth="1"/>
    <col min="2" max="2" width="3.00390625" style="294" customWidth="1"/>
    <col min="3" max="3" width="6.140625" style="294" customWidth="1"/>
    <col min="4" max="4" width="5.8515625" style="294" customWidth="1"/>
    <col min="5" max="5" width="6.140625" style="294" customWidth="1"/>
    <col min="6" max="6" width="5.421875" style="294" customWidth="1"/>
    <col min="7" max="7" width="3.8515625" style="294" customWidth="1"/>
    <col min="8" max="8" width="42.57421875" style="294" customWidth="1"/>
    <col min="9" max="9" width="17.7109375" style="294" customWidth="1"/>
    <col min="10" max="20" width="17.7109375" style="294" hidden="1" customWidth="1"/>
    <col min="21" max="24" width="17.7109375" style="294" customWidth="1"/>
    <col min="25" max="35" width="17.7109375" style="294" hidden="1" customWidth="1"/>
    <col min="36" max="38" width="17.7109375" style="294" customWidth="1"/>
    <col min="39" max="16384" width="18.7109375" style="294" customWidth="1"/>
  </cols>
  <sheetData>
    <row r="1" spans="1:38" ht="19.5" customHeight="1">
      <c r="A1" s="289"/>
      <c r="B1" s="388"/>
      <c r="C1" s="290"/>
      <c r="D1" s="291"/>
      <c r="E1" s="291"/>
      <c r="F1" s="291"/>
      <c r="G1" s="291"/>
      <c r="H1" s="109" t="s">
        <v>0</v>
      </c>
      <c r="I1" s="226" t="s">
        <v>1</v>
      </c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3"/>
      <c r="W1" s="293"/>
      <c r="X1" s="96" t="s">
        <v>2</v>
      </c>
      <c r="Y1" s="292" t="s">
        <v>3</v>
      </c>
      <c r="Z1" s="292" t="s">
        <v>4</v>
      </c>
      <c r="AA1" s="292" t="s">
        <v>5</v>
      </c>
      <c r="AB1" s="292" t="s">
        <v>6</v>
      </c>
      <c r="AC1" s="292" t="s">
        <v>7</v>
      </c>
      <c r="AD1" s="292" t="s">
        <v>8</v>
      </c>
      <c r="AE1" s="292" t="s">
        <v>9</v>
      </c>
      <c r="AF1" s="292" t="s">
        <v>10</v>
      </c>
      <c r="AG1" s="292" t="s">
        <v>11</v>
      </c>
      <c r="AH1" s="292" t="s">
        <v>12</v>
      </c>
      <c r="AI1" s="292" t="s">
        <v>13</v>
      </c>
      <c r="AJ1" s="292" t="s">
        <v>14</v>
      </c>
      <c r="AK1" s="195" t="s">
        <v>16</v>
      </c>
      <c r="AL1" s="196"/>
    </row>
    <row r="2" spans="1:38" ht="19.5" customHeight="1">
      <c r="A2" s="398"/>
      <c r="B2" s="440"/>
      <c r="C2" s="399"/>
      <c r="D2" s="400"/>
      <c r="E2" s="400"/>
      <c r="F2" s="400"/>
      <c r="G2" s="400"/>
      <c r="H2" s="401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4"/>
      <c r="W2" s="404"/>
      <c r="X2" s="405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6"/>
      <c r="AL2" s="407"/>
    </row>
    <row r="3" spans="1:38" ht="19.5" customHeight="1" thickBot="1">
      <c r="A3" s="295"/>
      <c r="B3" s="408"/>
      <c r="C3" s="296"/>
      <c r="D3" s="297"/>
      <c r="E3" s="297"/>
      <c r="F3" s="297"/>
      <c r="G3" s="297"/>
      <c r="H3" s="113" t="s">
        <v>210</v>
      </c>
      <c r="I3" s="227" t="s">
        <v>265</v>
      </c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9"/>
      <c r="W3" s="299"/>
      <c r="X3" s="97" t="s">
        <v>18</v>
      </c>
      <c r="Y3" s="300" t="s">
        <v>19</v>
      </c>
      <c r="Z3" s="300">
        <v>2001</v>
      </c>
      <c r="AA3" s="300">
        <v>2001</v>
      </c>
      <c r="AB3" s="300">
        <v>2001</v>
      </c>
      <c r="AC3" s="300">
        <v>2001</v>
      </c>
      <c r="AD3" s="300">
        <v>2001</v>
      </c>
      <c r="AE3" s="300">
        <v>2001</v>
      </c>
      <c r="AF3" s="300">
        <v>2001</v>
      </c>
      <c r="AG3" s="300" t="s">
        <v>339</v>
      </c>
      <c r="AH3" s="300" t="s">
        <v>339</v>
      </c>
      <c r="AI3" s="300" t="s">
        <v>339</v>
      </c>
      <c r="AJ3" s="300">
        <v>2001</v>
      </c>
      <c r="AK3" s="197">
        <f ca="1">TODAY()</f>
        <v>37837</v>
      </c>
      <c r="AL3" s="198"/>
    </row>
    <row r="4" spans="1:38" ht="19.5" customHeight="1" thickBot="1" thickTop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5" ht="19.5" customHeight="1" thickBot="1">
      <c r="A5" s="436" t="s">
        <v>264</v>
      </c>
      <c r="B5" s="434"/>
      <c r="C5" s="434"/>
      <c r="D5" s="434"/>
      <c r="E5" s="435"/>
    </row>
    <row r="6" spans="1:38" ht="19.5" customHeight="1" thickBot="1">
      <c r="A6" s="302" t="s">
        <v>130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</row>
    <row r="7" spans="1:38" ht="19.5" customHeight="1" thickBot="1" thickTop="1">
      <c r="A7" s="304" t="s">
        <v>96</v>
      </c>
      <c r="B7" s="305"/>
      <c r="C7" s="305"/>
      <c r="D7" s="305"/>
      <c r="E7" s="305"/>
      <c r="F7" s="305"/>
      <c r="G7" s="305"/>
      <c r="H7" s="306"/>
      <c r="I7" s="1" t="s">
        <v>211</v>
      </c>
      <c r="J7" s="1" t="s">
        <v>211</v>
      </c>
      <c r="K7" s="1" t="s">
        <v>211</v>
      </c>
      <c r="L7" s="1" t="s">
        <v>211</v>
      </c>
      <c r="M7" s="1" t="s">
        <v>211</v>
      </c>
      <c r="N7" s="1" t="s">
        <v>211</v>
      </c>
      <c r="O7" s="1" t="s">
        <v>211</v>
      </c>
      <c r="P7" s="1" t="s">
        <v>211</v>
      </c>
      <c r="Q7" s="1" t="s">
        <v>211</v>
      </c>
      <c r="R7" s="1" t="s">
        <v>211</v>
      </c>
      <c r="S7" s="1" t="s">
        <v>211</v>
      </c>
      <c r="T7" s="1" t="s">
        <v>211</v>
      </c>
      <c r="U7" s="1" t="s">
        <v>211</v>
      </c>
      <c r="V7" s="307" t="s">
        <v>21</v>
      </c>
      <c r="W7" s="308"/>
      <c r="X7" s="1" t="s">
        <v>211</v>
      </c>
      <c r="Y7" s="1" t="s">
        <v>101</v>
      </c>
      <c r="Z7" s="1" t="s">
        <v>101</v>
      </c>
      <c r="AA7" s="1" t="s">
        <v>101</v>
      </c>
      <c r="AB7" s="1" t="s">
        <v>101</v>
      </c>
      <c r="AC7" s="1" t="s">
        <v>101</v>
      </c>
      <c r="AD7" s="1" t="s">
        <v>101</v>
      </c>
      <c r="AE7" s="1" t="s">
        <v>101</v>
      </c>
      <c r="AF7" s="1" t="s">
        <v>101</v>
      </c>
      <c r="AG7" s="1" t="s">
        <v>101</v>
      </c>
      <c r="AH7" s="1" t="s">
        <v>101</v>
      </c>
      <c r="AI7" s="1" t="s">
        <v>101</v>
      </c>
      <c r="AJ7" s="1" t="s">
        <v>101</v>
      </c>
      <c r="AK7" s="309" t="s">
        <v>15</v>
      </c>
      <c r="AL7" s="310" t="s">
        <v>212</v>
      </c>
    </row>
    <row r="8" spans="1:38" ht="19.5" customHeight="1" thickTop="1">
      <c r="A8" s="350" t="s">
        <v>104</v>
      </c>
      <c r="B8" s="351" t="s">
        <v>105</v>
      </c>
      <c r="C8" s="351" t="s">
        <v>213</v>
      </c>
      <c r="D8" s="351" t="s">
        <v>214</v>
      </c>
      <c r="E8" s="351" t="s">
        <v>215</v>
      </c>
      <c r="F8" s="351" t="s">
        <v>216</v>
      </c>
      <c r="G8" s="351" t="s">
        <v>109</v>
      </c>
      <c r="H8" s="311" t="s">
        <v>26</v>
      </c>
      <c r="I8" s="312" t="s">
        <v>217</v>
      </c>
      <c r="J8" s="312" t="s">
        <v>218</v>
      </c>
      <c r="K8" s="312" t="s">
        <v>219</v>
      </c>
      <c r="L8" s="312" t="s">
        <v>220</v>
      </c>
      <c r="M8" s="312" t="s">
        <v>221</v>
      </c>
      <c r="N8" s="312" t="s">
        <v>222</v>
      </c>
      <c r="O8" s="312" t="s">
        <v>223</v>
      </c>
      <c r="P8" s="312" t="s">
        <v>224</v>
      </c>
      <c r="Q8" s="312" t="s">
        <v>225</v>
      </c>
      <c r="R8" s="312" t="s">
        <v>226</v>
      </c>
      <c r="S8" s="312" t="s">
        <v>227</v>
      </c>
      <c r="T8" s="312" t="s">
        <v>228</v>
      </c>
      <c r="U8" s="312" t="s">
        <v>229</v>
      </c>
      <c r="V8" s="313">
        <v>-3</v>
      </c>
      <c r="W8" s="314"/>
      <c r="X8" s="312" t="s">
        <v>15</v>
      </c>
      <c r="Y8" s="312" t="s">
        <v>218</v>
      </c>
      <c r="Z8" s="312" t="s">
        <v>219</v>
      </c>
      <c r="AA8" s="312" t="s">
        <v>220</v>
      </c>
      <c r="AB8" s="312" t="s">
        <v>221</v>
      </c>
      <c r="AC8" s="312" t="s">
        <v>222</v>
      </c>
      <c r="AD8" s="312" t="s">
        <v>223</v>
      </c>
      <c r="AE8" s="312" t="s">
        <v>224</v>
      </c>
      <c r="AF8" s="312" t="s">
        <v>225</v>
      </c>
      <c r="AG8" s="312" t="s">
        <v>226</v>
      </c>
      <c r="AH8" s="312" t="s">
        <v>227</v>
      </c>
      <c r="AI8" s="312" t="s">
        <v>228</v>
      </c>
      <c r="AJ8" s="312" t="s">
        <v>229</v>
      </c>
      <c r="AK8" s="315" t="s">
        <v>101</v>
      </c>
      <c r="AL8" s="316" t="s">
        <v>15</v>
      </c>
    </row>
    <row r="9" spans="1:38" ht="19.5" customHeight="1" thickBot="1">
      <c r="A9" s="352"/>
      <c r="B9" s="353"/>
      <c r="C9" s="353" t="s">
        <v>114</v>
      </c>
      <c r="D9" s="353" t="s">
        <v>115</v>
      </c>
      <c r="E9" s="353" t="s">
        <v>116</v>
      </c>
      <c r="F9" s="353"/>
      <c r="G9" s="353"/>
      <c r="H9" s="317"/>
      <c r="I9" s="2">
        <v>-1</v>
      </c>
      <c r="J9" s="318" t="s">
        <v>35</v>
      </c>
      <c r="K9" s="318" t="s">
        <v>35</v>
      </c>
      <c r="L9" s="318" t="s">
        <v>35</v>
      </c>
      <c r="M9" s="318" t="s">
        <v>35</v>
      </c>
      <c r="N9" s="318" t="s">
        <v>35</v>
      </c>
      <c r="O9" s="318" t="s">
        <v>35</v>
      </c>
      <c r="P9" s="318" t="s">
        <v>35</v>
      </c>
      <c r="Q9" s="318" t="s">
        <v>35</v>
      </c>
      <c r="R9" s="318" t="s">
        <v>35</v>
      </c>
      <c r="S9" s="318" t="s">
        <v>35</v>
      </c>
      <c r="T9" s="318" t="s">
        <v>35</v>
      </c>
      <c r="U9" s="318" t="s">
        <v>35</v>
      </c>
      <c r="V9" s="319" t="s">
        <v>230</v>
      </c>
      <c r="W9" s="319" t="s">
        <v>231</v>
      </c>
      <c r="X9" s="2" t="s">
        <v>232</v>
      </c>
      <c r="Y9" s="2">
        <v>-5</v>
      </c>
      <c r="Z9" s="2">
        <v>-5</v>
      </c>
      <c r="AA9" s="2">
        <v>-5</v>
      </c>
      <c r="AB9" s="2">
        <v>-5</v>
      </c>
      <c r="AC9" s="2">
        <v>-5</v>
      </c>
      <c r="AD9" s="2">
        <v>-5</v>
      </c>
      <c r="AE9" s="2">
        <v>-5</v>
      </c>
      <c r="AF9" s="2">
        <v>-5</v>
      </c>
      <c r="AG9" s="2">
        <v>-5</v>
      </c>
      <c r="AH9" s="2">
        <v>-5</v>
      </c>
      <c r="AI9" s="2">
        <v>-5</v>
      </c>
      <c r="AJ9" s="2">
        <v>-5</v>
      </c>
      <c r="AK9" s="2" t="s">
        <v>233</v>
      </c>
      <c r="AL9" s="320" t="s">
        <v>234</v>
      </c>
    </row>
    <row r="10" spans="1:38" s="323" customFormat="1" ht="19.5" customHeight="1" thickBot="1" thickTop="1">
      <c r="A10" s="321"/>
      <c r="B10" s="321"/>
      <c r="C10" s="321"/>
      <c r="D10" s="321"/>
      <c r="E10" s="321"/>
      <c r="F10" s="321"/>
      <c r="G10" s="321"/>
      <c r="H10" s="322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2"/>
      <c r="W10" s="322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2"/>
      <c r="AL10" s="321"/>
    </row>
    <row r="11" spans="1:38" s="368" customFormat="1" ht="24.75" customHeight="1" thickBot="1" thickTop="1">
      <c r="A11" s="364" t="s">
        <v>131</v>
      </c>
      <c r="B11" s="365" t="s">
        <v>134</v>
      </c>
      <c r="C11" s="365"/>
      <c r="D11" s="365"/>
      <c r="E11" s="365"/>
      <c r="F11" s="365"/>
      <c r="G11" s="365"/>
      <c r="H11" s="366" t="s">
        <v>235</v>
      </c>
      <c r="I11" s="365">
        <f>SUM(I12:I15)</f>
        <v>18397576769</v>
      </c>
      <c r="J11" s="365">
        <f aca="true" t="shared" si="0" ref="J11:Y11">SUM(J12:J15)</f>
        <v>489439686</v>
      </c>
      <c r="K11" s="365">
        <f t="shared" si="0"/>
        <v>935104376</v>
      </c>
      <c r="L11" s="365">
        <f t="shared" si="0"/>
        <v>838950636</v>
      </c>
      <c r="M11" s="365">
        <f t="shared" si="0"/>
        <v>1441619783</v>
      </c>
      <c r="N11" s="365">
        <f t="shared" si="0"/>
        <v>1022058886</v>
      </c>
      <c r="O11" s="365">
        <f t="shared" si="0"/>
        <v>1371584821</v>
      </c>
      <c r="P11" s="365">
        <f t="shared" si="0"/>
        <v>1070948043</v>
      </c>
      <c r="Q11" s="365">
        <f t="shared" si="0"/>
        <v>966200828</v>
      </c>
      <c r="R11" s="365">
        <f t="shared" si="0"/>
        <v>1250983258</v>
      </c>
      <c r="S11" s="365">
        <f t="shared" si="0"/>
        <v>954641654</v>
      </c>
      <c r="T11" s="365">
        <f t="shared" si="0"/>
        <v>859016389</v>
      </c>
      <c r="U11" s="365">
        <f t="shared" si="0"/>
        <v>7197028409</v>
      </c>
      <c r="V11" s="362">
        <f t="shared" si="0"/>
        <v>0</v>
      </c>
      <c r="W11" s="362">
        <f t="shared" si="0"/>
        <v>0</v>
      </c>
      <c r="X11" s="365">
        <f t="shared" si="0"/>
        <v>18397576769</v>
      </c>
      <c r="Y11" s="365">
        <f t="shared" si="0"/>
        <v>489439686</v>
      </c>
      <c r="Z11" s="365">
        <f aca="true" t="shared" si="1" ref="Z11:AL11">SUM(Z12:Z15)</f>
        <v>935104376</v>
      </c>
      <c r="AA11" s="365">
        <f t="shared" si="1"/>
        <v>838950636</v>
      </c>
      <c r="AB11" s="365">
        <f t="shared" si="1"/>
        <v>1441619783</v>
      </c>
      <c r="AC11" s="365">
        <f t="shared" si="1"/>
        <v>1022058886</v>
      </c>
      <c r="AD11" s="365">
        <f t="shared" si="1"/>
        <v>1371584821</v>
      </c>
      <c r="AE11" s="365">
        <f t="shared" si="1"/>
        <v>1070948043</v>
      </c>
      <c r="AF11" s="365">
        <f t="shared" si="1"/>
        <v>966200828</v>
      </c>
      <c r="AG11" s="365">
        <f t="shared" si="1"/>
        <v>1250983258</v>
      </c>
      <c r="AH11" s="365">
        <f t="shared" si="1"/>
        <v>954641654</v>
      </c>
      <c r="AI11" s="365">
        <f t="shared" si="1"/>
        <v>859016389</v>
      </c>
      <c r="AJ11" s="365">
        <f t="shared" si="1"/>
        <v>5157096581</v>
      </c>
      <c r="AK11" s="362">
        <f t="shared" si="1"/>
        <v>16357644941</v>
      </c>
      <c r="AL11" s="367">
        <f t="shared" si="1"/>
        <v>2039931828</v>
      </c>
    </row>
    <row r="12" spans="1:38" ht="24.75" customHeight="1" thickTop="1">
      <c r="A12" s="324" t="s">
        <v>131</v>
      </c>
      <c r="B12" s="325" t="s">
        <v>134</v>
      </c>
      <c r="C12" s="393" t="s">
        <v>135</v>
      </c>
      <c r="D12" s="325" t="s">
        <v>236</v>
      </c>
      <c r="E12" s="325"/>
      <c r="F12" s="325"/>
      <c r="G12" s="325"/>
      <c r="H12" s="326" t="s">
        <v>237</v>
      </c>
      <c r="I12" s="358">
        <f>SUM(J12:W12)</f>
        <v>9896505349</v>
      </c>
      <c r="J12" s="325">
        <v>401080285</v>
      </c>
      <c r="K12" s="325">
        <v>673534404</v>
      </c>
      <c r="L12" s="325">
        <v>614997226</v>
      </c>
      <c r="M12" s="325">
        <v>759998012</v>
      </c>
      <c r="N12" s="325">
        <v>714846934</v>
      </c>
      <c r="O12" s="325">
        <v>1128197272</v>
      </c>
      <c r="P12" s="325">
        <v>738438449</v>
      </c>
      <c r="Q12" s="325">
        <v>657195395</v>
      </c>
      <c r="R12" s="325">
        <v>676346236</v>
      </c>
      <c r="S12" s="325">
        <v>669435692</v>
      </c>
      <c r="T12" s="325">
        <v>652530820</v>
      </c>
      <c r="U12" s="325">
        <v>2209904624</v>
      </c>
      <c r="V12" s="327">
        <v>0</v>
      </c>
      <c r="W12" s="327">
        <v>0</v>
      </c>
      <c r="X12" s="386">
        <f>SUM($J12:U12,V12:W12)</f>
        <v>9896505349</v>
      </c>
      <c r="Y12" s="325">
        <f>GASTOS!AV11</f>
        <v>401080285</v>
      </c>
      <c r="Z12" s="325">
        <f>GASTOS!AW11</f>
        <v>673534404</v>
      </c>
      <c r="AA12" s="325">
        <f>GASTOS!AX11</f>
        <v>614997226</v>
      </c>
      <c r="AB12" s="325">
        <f>GASTOS!AY11</f>
        <v>759998012</v>
      </c>
      <c r="AC12" s="325">
        <f>GASTOS!AZ11</f>
        <v>714846934</v>
      </c>
      <c r="AD12" s="325">
        <f>GASTOS!BA11</f>
        <v>1128197272</v>
      </c>
      <c r="AE12" s="325">
        <f>GASTOS!BB11</f>
        <v>738438449</v>
      </c>
      <c r="AF12" s="325">
        <f>GASTOS!BC11</f>
        <v>657195395</v>
      </c>
      <c r="AG12" s="325">
        <f>GASTOS!BD11</f>
        <v>676346236</v>
      </c>
      <c r="AH12" s="325">
        <f>GASTOS!BE11</f>
        <v>669435692</v>
      </c>
      <c r="AI12" s="325">
        <f>GASTOS!BF11</f>
        <v>652530820</v>
      </c>
      <c r="AJ12" s="325">
        <f>GASTOS!BG11</f>
        <v>1601274954</v>
      </c>
      <c r="AK12" s="389">
        <f>SUM(Y12:AJ12)</f>
        <v>9287875679</v>
      </c>
      <c r="AL12" s="360">
        <f>X12-AK12</f>
        <v>608629670</v>
      </c>
    </row>
    <row r="13" spans="1:38" ht="24.75" customHeight="1">
      <c r="A13" s="328" t="s">
        <v>131</v>
      </c>
      <c r="B13" s="329" t="s">
        <v>134</v>
      </c>
      <c r="C13" s="394" t="s">
        <v>140</v>
      </c>
      <c r="D13" s="330" t="s">
        <v>236</v>
      </c>
      <c r="E13" s="330"/>
      <c r="F13" s="330"/>
      <c r="G13" s="330"/>
      <c r="H13" s="331" t="s">
        <v>238</v>
      </c>
      <c r="I13" s="359">
        <f>SUM(J13:W13)</f>
        <v>4429256676</v>
      </c>
      <c r="J13" s="330">
        <v>88359401</v>
      </c>
      <c r="K13" s="330">
        <v>247208862</v>
      </c>
      <c r="L13" s="330">
        <v>223953410</v>
      </c>
      <c r="M13" s="330">
        <v>681621771</v>
      </c>
      <c r="N13" s="330">
        <v>299315405</v>
      </c>
      <c r="O13" s="330">
        <v>243387549</v>
      </c>
      <c r="P13" s="330">
        <v>332509594</v>
      </c>
      <c r="Q13" s="330">
        <v>309005433</v>
      </c>
      <c r="R13" s="330">
        <v>324278466</v>
      </c>
      <c r="S13" s="330">
        <v>285205962</v>
      </c>
      <c r="T13" s="330">
        <v>198822478</v>
      </c>
      <c r="U13" s="330">
        <v>1195588345</v>
      </c>
      <c r="V13" s="332">
        <v>0</v>
      </c>
      <c r="W13" s="332">
        <v>0</v>
      </c>
      <c r="X13" s="387">
        <f>SUM($J13:U13,V13:W13)</f>
        <v>4429256676</v>
      </c>
      <c r="Y13" s="330">
        <f>GASTOS!AV21</f>
        <v>88359401</v>
      </c>
      <c r="Z13" s="330">
        <f>GASTOS!AW21</f>
        <v>247208862</v>
      </c>
      <c r="AA13" s="330">
        <f>GASTOS!AX21</f>
        <v>223953410</v>
      </c>
      <c r="AB13" s="330">
        <f>GASTOS!AY21</f>
        <v>681621771</v>
      </c>
      <c r="AC13" s="330">
        <f>GASTOS!AZ21</f>
        <v>299315405</v>
      </c>
      <c r="AD13" s="330">
        <f>GASTOS!BA21</f>
        <v>243387549</v>
      </c>
      <c r="AE13" s="330">
        <f>GASTOS!BB21</f>
        <v>332509594</v>
      </c>
      <c r="AF13" s="330">
        <f>GASTOS!BC21</f>
        <v>309005433</v>
      </c>
      <c r="AG13" s="330">
        <f>GASTOS!BD21</f>
        <v>324278466</v>
      </c>
      <c r="AH13" s="330">
        <f>GASTOS!BE21</f>
        <v>285205962</v>
      </c>
      <c r="AI13" s="330">
        <f>GASTOS!BF21</f>
        <v>198822478</v>
      </c>
      <c r="AJ13" s="330">
        <f>GASTOS!BG21</f>
        <v>509721627</v>
      </c>
      <c r="AK13" s="390">
        <f>SUM(Y13:AJ13)</f>
        <v>3743389958</v>
      </c>
      <c r="AL13" s="361">
        <f>X13-AK13</f>
        <v>685866718</v>
      </c>
    </row>
    <row r="14" spans="1:38" ht="24.75" customHeight="1">
      <c r="A14" s="328" t="s">
        <v>131</v>
      </c>
      <c r="B14" s="329" t="s">
        <v>134</v>
      </c>
      <c r="C14" s="394" t="s">
        <v>142</v>
      </c>
      <c r="D14" s="330" t="s">
        <v>236</v>
      </c>
      <c r="E14" s="330"/>
      <c r="F14" s="330"/>
      <c r="G14" s="330"/>
      <c r="H14" s="331" t="s">
        <v>239</v>
      </c>
      <c r="I14" s="359">
        <f>SUM(J14:W14)</f>
        <v>4071814744</v>
      </c>
      <c r="J14" s="330">
        <v>0</v>
      </c>
      <c r="K14" s="330">
        <v>14361110</v>
      </c>
      <c r="L14" s="330">
        <v>0</v>
      </c>
      <c r="M14" s="330">
        <v>0</v>
      </c>
      <c r="N14" s="330">
        <v>7896547</v>
      </c>
      <c r="O14" s="330">
        <v>0</v>
      </c>
      <c r="P14" s="330">
        <v>0</v>
      </c>
      <c r="Q14" s="330">
        <v>0</v>
      </c>
      <c r="R14" s="330">
        <v>250358556</v>
      </c>
      <c r="S14" s="330">
        <v>0</v>
      </c>
      <c r="T14" s="330">
        <v>7663091</v>
      </c>
      <c r="U14" s="330">
        <v>3791535440</v>
      </c>
      <c r="V14" s="332">
        <v>0</v>
      </c>
      <c r="W14" s="332">
        <v>0</v>
      </c>
      <c r="X14" s="387">
        <f>SUM($J14:U14,V14:W14)</f>
        <v>4071814744</v>
      </c>
      <c r="Y14" s="330">
        <f>GASTOS!AV25</f>
        <v>0</v>
      </c>
      <c r="Z14" s="330">
        <f>GASTOS!AW25</f>
        <v>14361110</v>
      </c>
      <c r="AA14" s="330">
        <f>GASTOS!AX25</f>
        <v>0</v>
      </c>
      <c r="AB14" s="330">
        <f>GASTOS!AY25</f>
        <v>0</v>
      </c>
      <c r="AC14" s="330">
        <f>GASTOS!AZ25</f>
        <v>7896547</v>
      </c>
      <c r="AD14" s="330">
        <f>GASTOS!BA25</f>
        <v>0</v>
      </c>
      <c r="AE14" s="330">
        <f>GASTOS!BB25</f>
        <v>0</v>
      </c>
      <c r="AF14" s="330">
        <f>GASTOS!BC25</f>
        <v>0</v>
      </c>
      <c r="AG14" s="330">
        <f>GASTOS!BD25</f>
        <v>250358556</v>
      </c>
      <c r="AH14" s="330">
        <f>GASTOS!BE25</f>
        <v>0</v>
      </c>
      <c r="AI14" s="330">
        <f>GASTOS!BF25</f>
        <v>7663091</v>
      </c>
      <c r="AJ14" s="330">
        <f>GASTOS!BG25</f>
        <v>3046100000</v>
      </c>
      <c r="AK14" s="390">
        <f>SUM(Y14:AJ14)</f>
        <v>3326379304</v>
      </c>
      <c r="AL14" s="361">
        <f>X14-AK14</f>
        <v>745435440</v>
      </c>
    </row>
    <row r="15" spans="1:38" ht="24.75" customHeight="1">
      <c r="A15" s="328" t="s">
        <v>167</v>
      </c>
      <c r="B15" s="329" t="s">
        <v>134</v>
      </c>
      <c r="C15" s="395" t="s">
        <v>168</v>
      </c>
      <c r="D15" s="330" t="s">
        <v>236</v>
      </c>
      <c r="E15" s="330"/>
      <c r="F15" s="330"/>
      <c r="G15" s="330"/>
      <c r="H15" s="331" t="s">
        <v>240</v>
      </c>
      <c r="I15" s="359">
        <f>SUM(J15:W15)</f>
        <v>0</v>
      </c>
      <c r="J15" s="330">
        <v>0</v>
      </c>
      <c r="K15" s="330">
        <v>0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330">
        <v>0</v>
      </c>
      <c r="R15" s="330">
        <v>0</v>
      </c>
      <c r="S15" s="330">
        <v>0</v>
      </c>
      <c r="T15" s="330">
        <v>0</v>
      </c>
      <c r="U15" s="330">
        <v>0</v>
      </c>
      <c r="V15" s="332">
        <v>0</v>
      </c>
      <c r="W15" s="332">
        <v>0</v>
      </c>
      <c r="X15" s="387">
        <f>SUM($J15:U15,V15:W15)</f>
        <v>0</v>
      </c>
      <c r="Y15" s="330">
        <f>GASTOS!AV33</f>
        <v>0</v>
      </c>
      <c r="Z15" s="330">
        <f>GASTOS!AW33</f>
        <v>0</v>
      </c>
      <c r="AA15" s="330">
        <f>GASTOS!AX33</f>
        <v>0</v>
      </c>
      <c r="AB15" s="330">
        <f>GASTOS!AY33</f>
        <v>0</v>
      </c>
      <c r="AC15" s="330">
        <f>GASTOS!AZ33</f>
        <v>0</v>
      </c>
      <c r="AD15" s="330">
        <f>GASTOS!BA33</f>
        <v>0</v>
      </c>
      <c r="AE15" s="330">
        <f>GASTOS!BB33</f>
        <v>0</v>
      </c>
      <c r="AF15" s="330">
        <f>GASTOS!BC33</f>
        <v>0</v>
      </c>
      <c r="AG15" s="330">
        <f>GASTOS!BD33</f>
        <v>0</v>
      </c>
      <c r="AH15" s="330">
        <f>GASTOS!BE33</f>
        <v>0</v>
      </c>
      <c r="AI15" s="330">
        <f>GASTOS!BF33</f>
        <v>0</v>
      </c>
      <c r="AJ15" s="330">
        <f>GASTOS!BG33</f>
        <v>0</v>
      </c>
      <c r="AK15" s="390">
        <f>SUM(Y15:AJ15)</f>
        <v>0</v>
      </c>
      <c r="AL15" s="361">
        <f>X15-AK15</f>
        <v>0</v>
      </c>
    </row>
    <row r="16" spans="1:38" s="368" customFormat="1" ht="24.75" customHeight="1" thickBot="1">
      <c r="A16" s="369" t="s">
        <v>174</v>
      </c>
      <c r="B16" s="370" t="s">
        <v>134</v>
      </c>
      <c r="C16" s="370" t="s">
        <v>236</v>
      </c>
      <c r="D16" s="370"/>
      <c r="E16" s="370"/>
      <c r="F16" s="370"/>
      <c r="G16" s="370"/>
      <c r="H16" s="371" t="s">
        <v>241</v>
      </c>
      <c r="I16" s="372">
        <f>SUM(J16:W16)</f>
        <v>111177349000</v>
      </c>
      <c r="J16" s="370">
        <v>20128104</v>
      </c>
      <c r="K16" s="370">
        <v>5397707608</v>
      </c>
      <c r="L16" s="370">
        <v>10634413607</v>
      </c>
      <c r="M16" s="370">
        <v>11252016218</v>
      </c>
      <c r="N16" s="370">
        <v>4391538794</v>
      </c>
      <c r="O16" s="370">
        <v>8758139217</v>
      </c>
      <c r="P16" s="370">
        <v>10964239861</v>
      </c>
      <c r="Q16" s="370">
        <v>9726526092</v>
      </c>
      <c r="R16" s="370">
        <v>12861791637</v>
      </c>
      <c r="S16" s="370">
        <v>10568267532</v>
      </c>
      <c r="T16" s="370">
        <v>4385746941</v>
      </c>
      <c r="U16" s="370">
        <v>22216833389</v>
      </c>
      <c r="V16" s="373">
        <v>0</v>
      </c>
      <c r="W16" s="373">
        <v>0</v>
      </c>
      <c r="X16" s="372">
        <f>SUM($J16:U16,V16:W16)</f>
        <v>111177349000</v>
      </c>
      <c r="Y16" s="370">
        <f>GASTOS!AV41</f>
        <v>20128104</v>
      </c>
      <c r="Z16" s="370">
        <f>GASTOS!AW41</f>
        <v>5397707608</v>
      </c>
      <c r="AA16" s="370">
        <f>GASTOS!AX41</f>
        <v>10634413607</v>
      </c>
      <c r="AB16" s="370">
        <f>GASTOS!AY41</f>
        <v>11252016218</v>
      </c>
      <c r="AC16" s="370">
        <f>GASTOS!AZ41</f>
        <v>4391538794</v>
      </c>
      <c r="AD16" s="370">
        <f>GASTOS!BA41</f>
        <v>8758139217</v>
      </c>
      <c r="AE16" s="370">
        <f>GASTOS!BB41</f>
        <v>10964239861</v>
      </c>
      <c r="AF16" s="370">
        <f>GASTOS!BC41</f>
        <v>9726526092</v>
      </c>
      <c r="AG16" s="370">
        <f>GASTOS!BD41</f>
        <v>12861791637</v>
      </c>
      <c r="AH16" s="370">
        <f>GASTOS!BE41</f>
        <v>10568267532</v>
      </c>
      <c r="AI16" s="370">
        <f>GASTOS!BF41</f>
        <v>4385746941</v>
      </c>
      <c r="AJ16" s="370">
        <f>GASTOS!BG41</f>
        <v>8445754828</v>
      </c>
      <c r="AK16" s="391">
        <f>SUM(Y16:AJ16)</f>
        <v>97406270439</v>
      </c>
      <c r="AL16" s="374">
        <f>X16-AK16</f>
        <v>13771078561</v>
      </c>
    </row>
    <row r="17" spans="1:38" ht="19.5" customHeight="1" thickBot="1" thickTop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</row>
    <row r="18" spans="1:38" s="368" customFormat="1" ht="24.75" customHeight="1" thickBot="1" thickTop="1">
      <c r="A18" s="375"/>
      <c r="B18" s="376"/>
      <c r="C18" s="376"/>
      <c r="D18" s="376"/>
      <c r="E18" s="376"/>
      <c r="F18" s="376"/>
      <c r="G18" s="377"/>
      <c r="H18" s="378" t="s">
        <v>242</v>
      </c>
      <c r="I18" s="379">
        <f aca="true" t="shared" si="2" ref="I18:X18">SUM(I12:I16)</f>
        <v>129574925769</v>
      </c>
      <c r="J18" s="379">
        <f t="shared" si="2"/>
        <v>509567790</v>
      </c>
      <c r="K18" s="379">
        <f t="shared" si="2"/>
        <v>6332811984</v>
      </c>
      <c r="L18" s="379">
        <f t="shared" si="2"/>
        <v>11473364243</v>
      </c>
      <c r="M18" s="379">
        <f t="shared" si="2"/>
        <v>12693636001</v>
      </c>
      <c r="N18" s="379">
        <f t="shared" si="2"/>
        <v>5413597680</v>
      </c>
      <c r="O18" s="379">
        <f t="shared" si="2"/>
        <v>10129724038</v>
      </c>
      <c r="P18" s="379">
        <f t="shared" si="2"/>
        <v>12035187904</v>
      </c>
      <c r="Q18" s="379">
        <f t="shared" si="2"/>
        <v>10692726920</v>
      </c>
      <c r="R18" s="379">
        <f t="shared" si="2"/>
        <v>14112774895</v>
      </c>
      <c r="S18" s="379">
        <f t="shared" si="2"/>
        <v>11522909186</v>
      </c>
      <c r="T18" s="379">
        <f t="shared" si="2"/>
        <v>5244763330</v>
      </c>
      <c r="U18" s="379">
        <f t="shared" si="2"/>
        <v>29413861798</v>
      </c>
      <c r="V18" s="363">
        <f t="shared" si="2"/>
        <v>0</v>
      </c>
      <c r="W18" s="363">
        <f t="shared" si="2"/>
        <v>0</v>
      </c>
      <c r="X18" s="379">
        <f t="shared" si="2"/>
        <v>129574925769</v>
      </c>
      <c r="Y18" s="379">
        <f aca="true" t="shared" si="3" ref="Y18:AL18">SUM(Y12:Y16)</f>
        <v>509567790</v>
      </c>
      <c r="Z18" s="379">
        <f t="shared" si="3"/>
        <v>6332811984</v>
      </c>
      <c r="AA18" s="379">
        <f t="shared" si="3"/>
        <v>11473364243</v>
      </c>
      <c r="AB18" s="379">
        <f t="shared" si="3"/>
        <v>12693636001</v>
      </c>
      <c r="AC18" s="379">
        <f t="shared" si="3"/>
        <v>5413597680</v>
      </c>
      <c r="AD18" s="379">
        <f t="shared" si="3"/>
        <v>10129724038</v>
      </c>
      <c r="AE18" s="379">
        <f t="shared" si="3"/>
        <v>12035187904</v>
      </c>
      <c r="AF18" s="379">
        <f t="shared" si="3"/>
        <v>10692726920</v>
      </c>
      <c r="AG18" s="379">
        <f t="shared" si="3"/>
        <v>14112774895</v>
      </c>
      <c r="AH18" s="379">
        <f t="shared" si="3"/>
        <v>11522909186</v>
      </c>
      <c r="AI18" s="379">
        <f t="shared" si="3"/>
        <v>5244763330</v>
      </c>
      <c r="AJ18" s="379">
        <f t="shared" si="3"/>
        <v>13602851409</v>
      </c>
      <c r="AK18" s="363">
        <f t="shared" si="3"/>
        <v>113763915380</v>
      </c>
      <c r="AL18" s="380">
        <f t="shared" si="3"/>
        <v>15811010389</v>
      </c>
    </row>
    <row r="19" spans="1:38" ht="19.5" customHeight="1" thickTop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</row>
    <row r="22" spans="1:38" ht="19.5" customHeight="1">
      <c r="A22" s="302" t="s">
        <v>243</v>
      </c>
      <c r="B22" s="303"/>
      <c r="C22" s="303"/>
      <c r="D22" s="303">
        <f>K22-E22-F22</f>
        <v>0</v>
      </c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</row>
    <row r="23" ht="19.5" customHeight="1" thickBot="1"/>
    <row r="24" spans="1:38" ht="19.5" customHeight="1" thickBot="1" thickTop="1">
      <c r="A24" s="333" t="s">
        <v>96</v>
      </c>
      <c r="B24" s="334"/>
      <c r="C24" s="334"/>
      <c r="D24" s="334"/>
      <c r="E24" s="334"/>
      <c r="F24" s="334"/>
      <c r="G24" s="334"/>
      <c r="H24" s="335"/>
      <c r="I24" s="228" t="s">
        <v>211</v>
      </c>
      <c r="J24" s="228" t="s">
        <v>211</v>
      </c>
      <c r="K24" s="228" t="s">
        <v>211</v>
      </c>
      <c r="L24" s="228" t="s">
        <v>211</v>
      </c>
      <c r="M24" s="228" t="s">
        <v>211</v>
      </c>
      <c r="N24" s="228" t="s">
        <v>211</v>
      </c>
      <c r="O24" s="228" t="s">
        <v>211</v>
      </c>
      <c r="P24" s="228" t="s">
        <v>211</v>
      </c>
      <c r="Q24" s="228" t="s">
        <v>211</v>
      </c>
      <c r="R24" s="228" t="s">
        <v>211</v>
      </c>
      <c r="S24" s="228" t="s">
        <v>211</v>
      </c>
      <c r="T24" s="228" t="s">
        <v>211</v>
      </c>
      <c r="U24" s="228" t="s">
        <v>211</v>
      </c>
      <c r="V24" s="336" t="s">
        <v>21</v>
      </c>
      <c r="W24" s="337"/>
      <c r="X24" s="228" t="s">
        <v>211</v>
      </c>
      <c r="Y24" s="228" t="s">
        <v>101</v>
      </c>
      <c r="Z24" s="228" t="s">
        <v>101</v>
      </c>
      <c r="AA24" s="228" t="s">
        <v>101</v>
      </c>
      <c r="AB24" s="228" t="s">
        <v>101</v>
      </c>
      <c r="AC24" s="228" t="s">
        <v>101</v>
      </c>
      <c r="AD24" s="228" t="s">
        <v>101</v>
      </c>
      <c r="AE24" s="228" t="s">
        <v>101</v>
      </c>
      <c r="AF24" s="228" t="s">
        <v>101</v>
      </c>
      <c r="AG24" s="228" t="s">
        <v>101</v>
      </c>
      <c r="AH24" s="228" t="s">
        <v>101</v>
      </c>
      <c r="AI24" s="228" t="s">
        <v>101</v>
      </c>
      <c r="AJ24" s="228" t="s">
        <v>101</v>
      </c>
      <c r="AK24" s="338" t="s">
        <v>15</v>
      </c>
      <c r="AL24" s="339" t="s">
        <v>212</v>
      </c>
    </row>
    <row r="25" spans="1:38" ht="19.5" customHeight="1" thickTop="1">
      <c r="A25" s="354" t="s">
        <v>104</v>
      </c>
      <c r="B25" s="355" t="s">
        <v>105</v>
      </c>
      <c r="C25" s="355" t="s">
        <v>213</v>
      </c>
      <c r="D25" s="355" t="s">
        <v>214</v>
      </c>
      <c r="E25" s="355" t="s">
        <v>215</v>
      </c>
      <c r="F25" s="355" t="s">
        <v>216</v>
      </c>
      <c r="G25" s="355" t="s">
        <v>109</v>
      </c>
      <c r="H25" s="340" t="s">
        <v>26</v>
      </c>
      <c r="I25" s="341" t="s">
        <v>31</v>
      </c>
      <c r="J25" s="341" t="s">
        <v>218</v>
      </c>
      <c r="K25" s="341" t="s">
        <v>219</v>
      </c>
      <c r="L25" s="341" t="s">
        <v>220</v>
      </c>
      <c r="M25" s="341" t="s">
        <v>221</v>
      </c>
      <c r="N25" s="341" t="s">
        <v>222</v>
      </c>
      <c r="O25" s="341" t="s">
        <v>223</v>
      </c>
      <c r="P25" s="341" t="s">
        <v>224</v>
      </c>
      <c r="Q25" s="341" t="s">
        <v>225</v>
      </c>
      <c r="R25" s="341" t="s">
        <v>226</v>
      </c>
      <c r="S25" s="341" t="s">
        <v>227</v>
      </c>
      <c r="T25" s="341" t="s">
        <v>228</v>
      </c>
      <c r="U25" s="341" t="s">
        <v>229</v>
      </c>
      <c r="V25" s="342">
        <v>-3</v>
      </c>
      <c r="W25" s="343"/>
      <c r="X25" s="341" t="s">
        <v>15</v>
      </c>
      <c r="Y25" s="341" t="s">
        <v>218</v>
      </c>
      <c r="Z25" s="341" t="s">
        <v>219</v>
      </c>
      <c r="AA25" s="341" t="s">
        <v>220</v>
      </c>
      <c r="AB25" s="341" t="s">
        <v>221</v>
      </c>
      <c r="AC25" s="341" t="s">
        <v>222</v>
      </c>
      <c r="AD25" s="341" t="s">
        <v>223</v>
      </c>
      <c r="AE25" s="341" t="s">
        <v>224</v>
      </c>
      <c r="AF25" s="341" t="s">
        <v>225</v>
      </c>
      <c r="AG25" s="341" t="s">
        <v>226</v>
      </c>
      <c r="AH25" s="341" t="s">
        <v>227</v>
      </c>
      <c r="AI25" s="341" t="s">
        <v>228</v>
      </c>
      <c r="AJ25" s="341" t="s">
        <v>229</v>
      </c>
      <c r="AK25" s="344" t="s">
        <v>101</v>
      </c>
      <c r="AL25" s="345" t="s">
        <v>15</v>
      </c>
    </row>
    <row r="26" spans="1:38" ht="19.5" customHeight="1" thickBot="1">
      <c r="A26" s="356"/>
      <c r="B26" s="357"/>
      <c r="C26" s="357" t="s">
        <v>114</v>
      </c>
      <c r="D26" s="357" t="s">
        <v>115</v>
      </c>
      <c r="E26" s="357" t="s">
        <v>116</v>
      </c>
      <c r="F26" s="357"/>
      <c r="G26" s="357"/>
      <c r="H26" s="346"/>
      <c r="I26" s="229">
        <v>-1</v>
      </c>
      <c r="J26" s="347" t="s">
        <v>35</v>
      </c>
      <c r="K26" s="347" t="s">
        <v>35</v>
      </c>
      <c r="L26" s="347" t="s">
        <v>35</v>
      </c>
      <c r="M26" s="347" t="s">
        <v>35</v>
      </c>
      <c r="N26" s="347" t="s">
        <v>35</v>
      </c>
      <c r="O26" s="347" t="s">
        <v>35</v>
      </c>
      <c r="P26" s="347" t="s">
        <v>35</v>
      </c>
      <c r="Q26" s="347" t="s">
        <v>35</v>
      </c>
      <c r="R26" s="347" t="s">
        <v>35</v>
      </c>
      <c r="S26" s="347" t="s">
        <v>35</v>
      </c>
      <c r="T26" s="347" t="s">
        <v>35</v>
      </c>
      <c r="U26" s="347" t="s">
        <v>35</v>
      </c>
      <c r="V26" s="348" t="s">
        <v>230</v>
      </c>
      <c r="W26" s="348" t="s">
        <v>231</v>
      </c>
      <c r="X26" s="229" t="s">
        <v>232</v>
      </c>
      <c r="Y26" s="229">
        <v>-5</v>
      </c>
      <c r="Z26" s="229">
        <v>-5</v>
      </c>
      <c r="AA26" s="229">
        <v>-5</v>
      </c>
      <c r="AB26" s="229">
        <v>-5</v>
      </c>
      <c r="AC26" s="229">
        <v>-5</v>
      </c>
      <c r="AD26" s="229">
        <v>-5</v>
      </c>
      <c r="AE26" s="229">
        <v>-5</v>
      </c>
      <c r="AF26" s="229">
        <v>-5</v>
      </c>
      <c r="AG26" s="229">
        <v>-5</v>
      </c>
      <c r="AH26" s="229">
        <v>-5</v>
      </c>
      <c r="AI26" s="229">
        <v>-5</v>
      </c>
      <c r="AJ26" s="229">
        <v>-5</v>
      </c>
      <c r="AK26" s="229" t="s">
        <v>233</v>
      </c>
      <c r="AL26" s="349" t="s">
        <v>234</v>
      </c>
    </row>
    <row r="27" spans="1:38" s="323" customFormat="1" ht="19.5" customHeight="1" thickBot="1" thickTop="1">
      <c r="A27" s="321"/>
      <c r="B27" s="321"/>
      <c r="C27" s="321"/>
      <c r="D27" s="321"/>
      <c r="E27" s="321"/>
      <c r="F27" s="321"/>
      <c r="G27" s="321"/>
      <c r="H27" s="322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2"/>
      <c r="W27" s="322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2"/>
      <c r="AL27" s="321"/>
    </row>
    <row r="28" spans="1:38" s="368" customFormat="1" ht="24.75" customHeight="1" thickBot="1" thickTop="1">
      <c r="A28" s="381" t="s">
        <v>174</v>
      </c>
      <c r="B28" s="382" t="s">
        <v>134</v>
      </c>
      <c r="C28" s="382" t="s">
        <v>236</v>
      </c>
      <c r="D28" s="382"/>
      <c r="E28" s="382"/>
      <c r="F28" s="382"/>
      <c r="G28" s="382"/>
      <c r="H28" s="383" t="s">
        <v>241</v>
      </c>
      <c r="I28" s="384">
        <f>SUM(J28:W28)</f>
        <v>6777326550.469999</v>
      </c>
      <c r="J28" s="382">
        <v>0</v>
      </c>
      <c r="K28" s="382">
        <v>1666600000</v>
      </c>
      <c r="L28" s="382">
        <v>833387100</v>
      </c>
      <c r="M28" s="382">
        <v>0</v>
      </c>
      <c r="N28" s="382">
        <v>407000000</v>
      </c>
      <c r="O28" s="382">
        <v>89362500</v>
      </c>
      <c r="P28" s="382">
        <v>1667731856</v>
      </c>
      <c r="Q28" s="382">
        <v>0</v>
      </c>
      <c r="R28" s="382">
        <v>0</v>
      </c>
      <c r="S28" s="382">
        <v>3090000</v>
      </c>
      <c r="T28" s="382">
        <v>1253509360.07</v>
      </c>
      <c r="U28" s="382">
        <v>856645734.4</v>
      </c>
      <c r="V28" s="385">
        <v>0</v>
      </c>
      <c r="W28" s="385">
        <v>0</v>
      </c>
      <c r="X28" s="384">
        <f>SUM($J28:U28,V28:W28)</f>
        <v>6777326550.469999</v>
      </c>
      <c r="Y28" s="382">
        <f>GASTOS!AV55</f>
        <v>0</v>
      </c>
      <c r="Z28" s="382">
        <f>GASTOS!AW55</f>
        <v>989808429</v>
      </c>
      <c r="AA28" s="382">
        <f>GASTOS!AX55</f>
        <v>1443962968</v>
      </c>
      <c r="AB28" s="382">
        <f>GASTOS!AY55</f>
        <v>37292520</v>
      </c>
      <c r="AC28" s="382">
        <f>GASTOS!AZ55</f>
        <v>365738542</v>
      </c>
      <c r="AD28" s="382">
        <f>GASTOS!BA55</f>
        <v>141266236</v>
      </c>
      <c r="AE28" s="382">
        <f>GASTOS!BB55</f>
        <v>1650877856</v>
      </c>
      <c r="AF28" s="382">
        <f>GASTOS!BC55</f>
        <v>33590905</v>
      </c>
      <c r="AG28" s="382">
        <f>GASTOS!BD55</f>
        <v>1236000</v>
      </c>
      <c r="AH28" s="382">
        <f>GASTOS!BE55</f>
        <v>0</v>
      </c>
      <c r="AI28" s="382">
        <f>GASTOS!BF55</f>
        <v>500308000</v>
      </c>
      <c r="AJ28" s="382">
        <f>GASTOS!BG55</f>
        <v>1599635731</v>
      </c>
      <c r="AK28" s="392">
        <f>SUM(Y28:AJ28)</f>
        <v>6763717187</v>
      </c>
      <c r="AL28" s="380">
        <f>X28-AK28</f>
        <v>13609363.469999313</v>
      </c>
    </row>
    <row r="29" ht="19.5" customHeight="1" thickTop="1"/>
    <row r="30" ht="19.5" customHeight="1" thickBot="1"/>
    <row r="31" spans="1:8" ht="19.5" customHeight="1" thickBot="1">
      <c r="A31" s="437" t="s">
        <v>263</v>
      </c>
      <c r="B31" s="434"/>
      <c r="C31" s="434"/>
      <c r="D31" s="434"/>
      <c r="E31" s="434"/>
      <c r="F31" s="434"/>
      <c r="G31" s="434"/>
      <c r="H31" s="435"/>
    </row>
    <row r="33" spans="1:38" ht="19.5" customHeight="1" thickBot="1">
      <c r="A33" s="302" t="s">
        <v>130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</row>
    <row r="34" spans="1:38" ht="19.5" customHeight="1" thickBot="1" thickTop="1">
      <c r="A34" s="304" t="s">
        <v>96</v>
      </c>
      <c r="B34" s="305"/>
      <c r="C34" s="305"/>
      <c r="D34" s="305"/>
      <c r="E34" s="305"/>
      <c r="F34" s="305"/>
      <c r="G34" s="305"/>
      <c r="H34" s="306"/>
      <c r="I34" s="1" t="s">
        <v>211</v>
      </c>
      <c r="J34" s="1" t="s">
        <v>211</v>
      </c>
      <c r="K34" s="1" t="s">
        <v>211</v>
      </c>
      <c r="L34" s="1" t="s">
        <v>211</v>
      </c>
      <c r="M34" s="1" t="s">
        <v>211</v>
      </c>
      <c r="N34" s="1" t="s">
        <v>211</v>
      </c>
      <c r="O34" s="1" t="s">
        <v>211</v>
      </c>
      <c r="P34" s="1" t="s">
        <v>211</v>
      </c>
      <c r="Q34" s="1" t="s">
        <v>211</v>
      </c>
      <c r="R34" s="1" t="s">
        <v>211</v>
      </c>
      <c r="S34" s="1" t="s">
        <v>211</v>
      </c>
      <c r="T34" s="1" t="s">
        <v>211</v>
      </c>
      <c r="U34" s="1" t="s">
        <v>211</v>
      </c>
      <c r="V34" s="307" t="s">
        <v>21</v>
      </c>
      <c r="W34" s="308"/>
      <c r="X34" s="1" t="s">
        <v>211</v>
      </c>
      <c r="Y34" s="1" t="s">
        <v>101</v>
      </c>
      <c r="Z34" s="1" t="s">
        <v>101</v>
      </c>
      <c r="AA34" s="1" t="s">
        <v>101</v>
      </c>
      <c r="AB34" s="1" t="s">
        <v>101</v>
      </c>
      <c r="AC34" s="1" t="s">
        <v>101</v>
      </c>
      <c r="AD34" s="1" t="s">
        <v>101</v>
      </c>
      <c r="AE34" s="1" t="s">
        <v>101</v>
      </c>
      <c r="AF34" s="1" t="s">
        <v>101</v>
      </c>
      <c r="AG34" s="1" t="s">
        <v>101</v>
      </c>
      <c r="AH34" s="1" t="s">
        <v>101</v>
      </c>
      <c r="AI34" s="1" t="s">
        <v>101</v>
      </c>
      <c r="AJ34" s="1" t="s">
        <v>101</v>
      </c>
      <c r="AK34" s="309" t="s">
        <v>15</v>
      </c>
      <c r="AL34" s="310" t="s">
        <v>212</v>
      </c>
    </row>
    <row r="35" spans="1:38" ht="19.5" customHeight="1" thickTop="1">
      <c r="A35" s="350" t="s">
        <v>104</v>
      </c>
      <c r="B35" s="351" t="s">
        <v>105</v>
      </c>
      <c r="C35" s="351" t="s">
        <v>213</v>
      </c>
      <c r="D35" s="351" t="s">
        <v>214</v>
      </c>
      <c r="E35" s="351" t="s">
        <v>215</v>
      </c>
      <c r="F35" s="351" t="s">
        <v>216</v>
      </c>
      <c r="G35" s="351" t="s">
        <v>109</v>
      </c>
      <c r="H35" s="311" t="s">
        <v>26</v>
      </c>
      <c r="I35" s="312" t="s">
        <v>217</v>
      </c>
      <c r="J35" s="312" t="s">
        <v>218</v>
      </c>
      <c r="K35" s="312" t="s">
        <v>219</v>
      </c>
      <c r="L35" s="312" t="s">
        <v>220</v>
      </c>
      <c r="M35" s="312" t="s">
        <v>221</v>
      </c>
      <c r="N35" s="312" t="s">
        <v>222</v>
      </c>
      <c r="O35" s="312" t="s">
        <v>223</v>
      </c>
      <c r="P35" s="312" t="s">
        <v>224</v>
      </c>
      <c r="Q35" s="312" t="s">
        <v>225</v>
      </c>
      <c r="R35" s="312" t="s">
        <v>226</v>
      </c>
      <c r="S35" s="312" t="s">
        <v>227</v>
      </c>
      <c r="T35" s="312" t="s">
        <v>228</v>
      </c>
      <c r="U35" s="312" t="s">
        <v>229</v>
      </c>
      <c r="V35" s="313">
        <v>-3</v>
      </c>
      <c r="W35" s="314"/>
      <c r="X35" s="312" t="s">
        <v>15</v>
      </c>
      <c r="Y35" s="312" t="s">
        <v>218</v>
      </c>
      <c r="Z35" s="312" t="s">
        <v>219</v>
      </c>
      <c r="AA35" s="312" t="s">
        <v>220</v>
      </c>
      <c r="AB35" s="312" t="s">
        <v>221</v>
      </c>
      <c r="AC35" s="312" t="s">
        <v>222</v>
      </c>
      <c r="AD35" s="312" t="s">
        <v>223</v>
      </c>
      <c r="AE35" s="312" t="s">
        <v>224</v>
      </c>
      <c r="AF35" s="312" t="s">
        <v>225</v>
      </c>
      <c r="AG35" s="312" t="s">
        <v>226</v>
      </c>
      <c r="AH35" s="312" t="s">
        <v>227</v>
      </c>
      <c r="AI35" s="312" t="s">
        <v>228</v>
      </c>
      <c r="AJ35" s="312" t="s">
        <v>229</v>
      </c>
      <c r="AK35" s="315" t="s">
        <v>101</v>
      </c>
      <c r="AL35" s="316" t="s">
        <v>15</v>
      </c>
    </row>
    <row r="36" spans="1:38" ht="19.5" customHeight="1" thickBot="1">
      <c r="A36" s="352"/>
      <c r="B36" s="353"/>
      <c r="C36" s="353" t="s">
        <v>114</v>
      </c>
      <c r="D36" s="353" t="s">
        <v>115</v>
      </c>
      <c r="E36" s="353" t="s">
        <v>116</v>
      </c>
      <c r="F36" s="353"/>
      <c r="G36" s="353"/>
      <c r="H36" s="317"/>
      <c r="I36" s="2">
        <v>-1</v>
      </c>
      <c r="J36" s="318" t="s">
        <v>35</v>
      </c>
      <c r="K36" s="318" t="s">
        <v>35</v>
      </c>
      <c r="L36" s="318" t="s">
        <v>35</v>
      </c>
      <c r="M36" s="318" t="s">
        <v>35</v>
      </c>
      <c r="N36" s="318" t="s">
        <v>35</v>
      </c>
      <c r="O36" s="318" t="s">
        <v>35</v>
      </c>
      <c r="P36" s="318" t="s">
        <v>35</v>
      </c>
      <c r="Q36" s="318" t="s">
        <v>35</v>
      </c>
      <c r="R36" s="318" t="s">
        <v>35</v>
      </c>
      <c r="S36" s="318" t="s">
        <v>35</v>
      </c>
      <c r="T36" s="318" t="s">
        <v>35</v>
      </c>
      <c r="U36" s="318" t="s">
        <v>35</v>
      </c>
      <c r="V36" s="319" t="s">
        <v>230</v>
      </c>
      <c r="W36" s="319" t="s">
        <v>231</v>
      </c>
      <c r="X36" s="2" t="s">
        <v>232</v>
      </c>
      <c r="Y36" s="2">
        <v>-5</v>
      </c>
      <c r="Z36" s="2">
        <v>-5</v>
      </c>
      <c r="AA36" s="2">
        <v>-5</v>
      </c>
      <c r="AB36" s="2">
        <v>-5</v>
      </c>
      <c r="AC36" s="2">
        <v>-5</v>
      </c>
      <c r="AD36" s="2">
        <v>-5</v>
      </c>
      <c r="AE36" s="2">
        <v>-5</v>
      </c>
      <c r="AF36" s="2">
        <v>-5</v>
      </c>
      <c r="AG36" s="2">
        <v>-5</v>
      </c>
      <c r="AH36" s="2">
        <v>-5</v>
      </c>
      <c r="AI36" s="2">
        <v>-5</v>
      </c>
      <c r="AJ36" s="2">
        <v>-5</v>
      </c>
      <c r="AK36" s="2" t="s">
        <v>233</v>
      </c>
      <c r="AL36" s="320" t="s">
        <v>234</v>
      </c>
    </row>
    <row r="37" spans="1:38" ht="19.5" customHeight="1" thickBot="1" thickTop="1">
      <c r="A37" s="321"/>
      <c r="B37" s="321"/>
      <c r="C37" s="321"/>
      <c r="D37" s="321"/>
      <c r="E37" s="321"/>
      <c r="F37" s="321"/>
      <c r="G37" s="321"/>
      <c r="H37" s="322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2"/>
      <c r="W37" s="322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2"/>
      <c r="AL37" s="321"/>
    </row>
    <row r="38" spans="1:38" ht="24.75" customHeight="1" thickBot="1" thickTop="1">
      <c r="A38" s="364" t="s">
        <v>131</v>
      </c>
      <c r="B38" s="365" t="s">
        <v>134</v>
      </c>
      <c r="C38" s="365"/>
      <c r="D38" s="365"/>
      <c r="E38" s="365"/>
      <c r="F38" s="365"/>
      <c r="G38" s="365"/>
      <c r="H38" s="366" t="s">
        <v>235</v>
      </c>
      <c r="I38" s="365">
        <f>SUM(I39:I40)</f>
        <v>419717974</v>
      </c>
      <c r="J38" s="365">
        <f aca="true" t="shared" si="4" ref="J38:Y38">SUM(J39:J40)</f>
        <v>60635965</v>
      </c>
      <c r="K38" s="365">
        <f t="shared" si="4"/>
        <v>192757499</v>
      </c>
      <c r="L38" s="365">
        <f t="shared" si="4"/>
        <v>62803114</v>
      </c>
      <c r="M38" s="365">
        <f t="shared" si="4"/>
        <v>47497856</v>
      </c>
      <c r="N38" s="365">
        <f t="shared" si="4"/>
        <v>20191558</v>
      </c>
      <c r="O38" s="365">
        <f t="shared" si="4"/>
        <v>180673</v>
      </c>
      <c r="P38" s="365">
        <f t="shared" si="4"/>
        <v>0</v>
      </c>
      <c r="Q38" s="365">
        <f t="shared" si="4"/>
        <v>1434290</v>
      </c>
      <c r="R38" s="365">
        <f t="shared" si="4"/>
        <v>0</v>
      </c>
      <c r="S38" s="365">
        <f t="shared" si="4"/>
        <v>5766257</v>
      </c>
      <c r="T38" s="365">
        <f t="shared" si="4"/>
        <v>599279</v>
      </c>
      <c r="U38" s="365">
        <f t="shared" si="4"/>
        <v>27851483</v>
      </c>
      <c r="V38" s="362">
        <f t="shared" si="4"/>
        <v>0</v>
      </c>
      <c r="W38" s="362">
        <f t="shared" si="4"/>
        <v>0</v>
      </c>
      <c r="X38" s="365">
        <f t="shared" si="4"/>
        <v>419717974</v>
      </c>
      <c r="Y38" s="365">
        <f t="shared" si="4"/>
        <v>60635965</v>
      </c>
      <c r="Z38" s="365">
        <f aca="true" t="shared" si="5" ref="Z38:AL38">SUM(Z39:Z40)</f>
        <v>192757499</v>
      </c>
      <c r="AA38" s="365">
        <f t="shared" si="5"/>
        <v>62803114</v>
      </c>
      <c r="AB38" s="365">
        <f t="shared" si="5"/>
        <v>47497856</v>
      </c>
      <c r="AC38" s="365">
        <f t="shared" si="5"/>
        <v>20191558</v>
      </c>
      <c r="AD38" s="365">
        <f t="shared" si="5"/>
        <v>180673</v>
      </c>
      <c r="AE38" s="365">
        <f t="shared" si="5"/>
        <v>0</v>
      </c>
      <c r="AF38" s="365">
        <f t="shared" si="5"/>
        <v>1434290</v>
      </c>
      <c r="AG38" s="365">
        <f t="shared" si="5"/>
        <v>0</v>
      </c>
      <c r="AH38" s="365">
        <f t="shared" si="5"/>
        <v>5766257</v>
      </c>
      <c r="AI38" s="365">
        <f t="shared" si="5"/>
        <v>599279</v>
      </c>
      <c r="AJ38" s="365">
        <f t="shared" si="5"/>
        <v>10344</v>
      </c>
      <c r="AK38" s="362">
        <f t="shared" si="5"/>
        <v>391876835</v>
      </c>
      <c r="AL38" s="367">
        <f t="shared" si="5"/>
        <v>27841139</v>
      </c>
    </row>
    <row r="39" spans="1:38" ht="24.75" customHeight="1" thickTop="1">
      <c r="A39" s="324" t="s">
        <v>131</v>
      </c>
      <c r="B39" s="325" t="s">
        <v>134</v>
      </c>
      <c r="C39" s="393" t="s">
        <v>135</v>
      </c>
      <c r="D39" s="325" t="s">
        <v>236</v>
      </c>
      <c r="E39" s="325"/>
      <c r="F39" s="325"/>
      <c r="G39" s="325"/>
      <c r="H39" s="326" t="s">
        <v>237</v>
      </c>
      <c r="I39" s="358">
        <f>SUM(J39:W39)</f>
        <v>134537484</v>
      </c>
      <c r="J39" s="325">
        <v>15245184</v>
      </c>
      <c r="K39" s="325">
        <v>23360168</v>
      </c>
      <c r="L39" s="325">
        <v>41954053</v>
      </c>
      <c r="M39" s="325">
        <v>16476855</v>
      </c>
      <c r="N39" s="325">
        <v>17159764</v>
      </c>
      <c r="O39" s="325">
        <v>180673</v>
      </c>
      <c r="P39" s="325">
        <v>0</v>
      </c>
      <c r="Q39" s="325">
        <v>0</v>
      </c>
      <c r="R39" s="325">
        <v>0</v>
      </c>
      <c r="S39" s="325">
        <v>0</v>
      </c>
      <c r="T39" s="325">
        <v>0</v>
      </c>
      <c r="U39" s="325">
        <v>20160787</v>
      </c>
      <c r="V39" s="327">
        <v>0</v>
      </c>
      <c r="W39" s="327">
        <v>0</v>
      </c>
      <c r="X39" s="386">
        <f>SUM($J39:U39,V39:W39)</f>
        <v>134537484</v>
      </c>
      <c r="Y39" s="325">
        <f>'Res.Presupuestal'!AK11+CxP!AR11</f>
        <v>15245184</v>
      </c>
      <c r="Z39" s="325">
        <f>'Res.Presupuestal'!AL11+CxP!AS11</f>
        <v>23360168</v>
      </c>
      <c r="AA39" s="325">
        <f>'Res.Presupuestal'!AM11+CxP!AT11</f>
        <v>41954053</v>
      </c>
      <c r="AB39" s="325">
        <f>'Res.Presupuestal'!AN11+CxP!AU11</f>
        <v>16476855</v>
      </c>
      <c r="AC39" s="325">
        <f>'Res.Presupuestal'!AO11+CxP!AV11</f>
        <v>17159764</v>
      </c>
      <c r="AD39" s="325">
        <f>'Res.Presupuestal'!AP11+CxP!AW11</f>
        <v>180673</v>
      </c>
      <c r="AE39" s="325">
        <f>'Res.Presupuestal'!AQ11+CxP!AX11</f>
        <v>0</v>
      </c>
      <c r="AF39" s="325">
        <f>'Res.Presupuestal'!AR11+CxP!AY11</f>
        <v>0</v>
      </c>
      <c r="AG39" s="325">
        <f>'Res.Presupuestal'!AS11+CxP!AZ11</f>
        <v>0</v>
      </c>
      <c r="AH39" s="325">
        <f>'Res.Presupuestal'!AT11+CxP!BA11</f>
        <v>0</v>
      </c>
      <c r="AI39" s="325">
        <f>'Res.Presupuestal'!AU11+CxP!BB11</f>
        <v>0</v>
      </c>
      <c r="AJ39" s="325">
        <f>'Res.Presupuestal'!AV11+CxP!BC11</f>
        <v>0</v>
      </c>
      <c r="AK39" s="389">
        <f>SUM(Y39:AJ39)</f>
        <v>114376697</v>
      </c>
      <c r="AL39" s="360">
        <f>X39-AK39</f>
        <v>20160787</v>
      </c>
    </row>
    <row r="40" spans="1:38" ht="24.75" customHeight="1">
      <c r="A40" s="328" t="s">
        <v>131</v>
      </c>
      <c r="B40" s="329" t="s">
        <v>134</v>
      </c>
      <c r="C40" s="394" t="s">
        <v>140</v>
      </c>
      <c r="D40" s="330" t="s">
        <v>236</v>
      </c>
      <c r="E40" s="330"/>
      <c r="F40" s="330"/>
      <c r="G40" s="330"/>
      <c r="H40" s="331" t="s">
        <v>238</v>
      </c>
      <c r="I40" s="359">
        <f>SUM(J40:W40)</f>
        <v>285180490</v>
      </c>
      <c r="J40" s="330">
        <v>45390781</v>
      </c>
      <c r="K40" s="330">
        <v>169397331</v>
      </c>
      <c r="L40" s="330">
        <v>20849061</v>
      </c>
      <c r="M40" s="330">
        <v>31021001</v>
      </c>
      <c r="N40" s="330">
        <v>3031794</v>
      </c>
      <c r="O40" s="330">
        <v>0</v>
      </c>
      <c r="P40" s="330">
        <v>0</v>
      </c>
      <c r="Q40" s="330">
        <v>1434290</v>
      </c>
      <c r="R40" s="330">
        <v>0</v>
      </c>
      <c r="S40" s="330">
        <v>5766257</v>
      </c>
      <c r="T40" s="330">
        <v>599279</v>
      </c>
      <c r="U40" s="330">
        <v>7690696</v>
      </c>
      <c r="V40" s="332">
        <v>0</v>
      </c>
      <c r="W40" s="332">
        <v>0</v>
      </c>
      <c r="X40" s="387">
        <f>SUM($J40:U40,V40:W40)</f>
        <v>285180490</v>
      </c>
      <c r="Y40" s="330">
        <f>'Res.Presupuestal'!AK13+CxP!AR13</f>
        <v>45390781</v>
      </c>
      <c r="Z40" s="330">
        <f>'Res.Presupuestal'!AL13+CxP!AS13</f>
        <v>169397331</v>
      </c>
      <c r="AA40" s="330">
        <f>'Res.Presupuestal'!AM13+CxP!AT13</f>
        <v>20849061</v>
      </c>
      <c r="AB40" s="330">
        <f>'Res.Presupuestal'!AN13+CxP!AU13</f>
        <v>31021001</v>
      </c>
      <c r="AC40" s="330">
        <f>'Res.Presupuestal'!AO13+CxP!AV13</f>
        <v>3031794</v>
      </c>
      <c r="AD40" s="330">
        <f>'Res.Presupuestal'!AP13+CxP!AW13</f>
        <v>0</v>
      </c>
      <c r="AE40" s="330">
        <f>'Res.Presupuestal'!AQ13+CxP!AX13</f>
        <v>0</v>
      </c>
      <c r="AF40" s="330">
        <f>'Res.Presupuestal'!AR13+CxP!AY13</f>
        <v>1434290</v>
      </c>
      <c r="AG40" s="330">
        <f>'Res.Presupuestal'!AS13+CxP!AZ13</f>
        <v>0</v>
      </c>
      <c r="AH40" s="330">
        <f>'Res.Presupuestal'!AT13+CxP!BA13</f>
        <v>5766257</v>
      </c>
      <c r="AI40" s="330">
        <f>'Res.Presupuestal'!AU13+CxP!BB13</f>
        <v>599279</v>
      </c>
      <c r="AJ40" s="330">
        <f>'Res.Presupuestal'!AV13+CxP!BC13</f>
        <v>10344</v>
      </c>
      <c r="AK40" s="390">
        <f>SUM(Y40:AJ40)</f>
        <v>277500138</v>
      </c>
      <c r="AL40" s="361">
        <f>X40-AK40</f>
        <v>7680352</v>
      </c>
    </row>
    <row r="41" spans="1:38" ht="24.75" customHeight="1" thickBot="1">
      <c r="A41" s="369" t="s">
        <v>174</v>
      </c>
      <c r="B41" s="370" t="s">
        <v>134</v>
      </c>
      <c r="C41" s="370" t="s">
        <v>236</v>
      </c>
      <c r="D41" s="370"/>
      <c r="E41" s="370"/>
      <c r="F41" s="370"/>
      <c r="G41" s="370"/>
      <c r="H41" s="371" t="s">
        <v>241</v>
      </c>
      <c r="I41" s="372">
        <f>SUM(J41:W41)</f>
        <v>5262860496</v>
      </c>
      <c r="J41" s="370">
        <v>14360194</v>
      </c>
      <c r="K41" s="370">
        <v>3315009859</v>
      </c>
      <c r="L41" s="370">
        <v>1392388907</v>
      </c>
      <c r="M41" s="370">
        <v>208304961</v>
      </c>
      <c r="N41" s="370">
        <v>33445542</v>
      </c>
      <c r="O41" s="370">
        <v>3579490</v>
      </c>
      <c r="P41" s="370">
        <v>130408240</v>
      </c>
      <c r="Q41" s="370">
        <v>67469034</v>
      </c>
      <c r="R41" s="370">
        <v>36752226</v>
      </c>
      <c r="S41" s="370">
        <v>7121085</v>
      </c>
      <c r="T41" s="370">
        <v>4414682</v>
      </c>
      <c r="U41" s="370">
        <v>49606276</v>
      </c>
      <c r="V41" s="373">
        <v>0</v>
      </c>
      <c r="W41" s="373">
        <v>0</v>
      </c>
      <c r="X41" s="372">
        <f>SUM($J41:U41,V41:W41)</f>
        <v>5262860496</v>
      </c>
      <c r="Y41" s="370">
        <f>'Res.Presupuestal'!AK21+CxP!AR21</f>
        <v>14360194</v>
      </c>
      <c r="Z41" s="370">
        <f>'Res.Presupuestal'!AL21+CxP!AS21</f>
        <v>3315009859</v>
      </c>
      <c r="AA41" s="370">
        <f>'Res.Presupuestal'!AM21+CxP!AT21</f>
        <v>1392388907</v>
      </c>
      <c r="AB41" s="370">
        <f>'Res.Presupuestal'!AN21+CxP!AU21</f>
        <v>208304961</v>
      </c>
      <c r="AC41" s="370">
        <f>'Res.Presupuestal'!AO21+CxP!AV21</f>
        <v>33445542</v>
      </c>
      <c r="AD41" s="370">
        <f>'Res.Presupuestal'!AP21+CxP!AW21</f>
        <v>3579490</v>
      </c>
      <c r="AE41" s="370">
        <f>'Res.Presupuestal'!AQ21+CxP!AX21</f>
        <v>130408240</v>
      </c>
      <c r="AF41" s="370">
        <f>'Res.Presupuestal'!AR21+CxP!AY21</f>
        <v>67469034</v>
      </c>
      <c r="AG41" s="370">
        <f>'Res.Presupuestal'!AS21+CxP!AZ21</f>
        <v>36752226</v>
      </c>
      <c r="AH41" s="370">
        <f>'Res.Presupuestal'!AT21+CxP!BA21</f>
        <v>7121085</v>
      </c>
      <c r="AI41" s="370">
        <f>'Res.Presupuestal'!AU21+CxP!BB21</f>
        <v>4414682</v>
      </c>
      <c r="AJ41" s="370">
        <f>'Res.Presupuestal'!AV21+CxP!BC21</f>
        <v>15326225</v>
      </c>
      <c r="AK41" s="391">
        <f>SUM(Y41:AJ41)</f>
        <v>5228580445</v>
      </c>
      <c r="AL41" s="374">
        <f>X41-AK41</f>
        <v>34280051</v>
      </c>
    </row>
    <row r="42" spans="1:38" ht="19.5" customHeight="1" thickBot="1" thickTop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</row>
    <row r="43" spans="1:38" ht="24.75" customHeight="1" thickBot="1" thickTop="1">
      <c r="A43" s="375"/>
      <c r="B43" s="376"/>
      <c r="C43" s="376"/>
      <c r="D43" s="376"/>
      <c r="E43" s="376"/>
      <c r="F43" s="376"/>
      <c r="G43" s="377"/>
      <c r="H43" s="378" t="s">
        <v>242</v>
      </c>
      <c r="I43" s="379">
        <f aca="true" t="shared" si="6" ref="I43:X43">SUM(I39:I41)</f>
        <v>5682578470</v>
      </c>
      <c r="J43" s="379">
        <f t="shared" si="6"/>
        <v>74996159</v>
      </c>
      <c r="K43" s="379">
        <f t="shared" si="6"/>
        <v>3507767358</v>
      </c>
      <c r="L43" s="379">
        <f t="shared" si="6"/>
        <v>1455192021</v>
      </c>
      <c r="M43" s="379">
        <f t="shared" si="6"/>
        <v>255802817</v>
      </c>
      <c r="N43" s="379">
        <f t="shared" si="6"/>
        <v>53637100</v>
      </c>
      <c r="O43" s="379">
        <f t="shared" si="6"/>
        <v>3760163</v>
      </c>
      <c r="P43" s="379">
        <f t="shared" si="6"/>
        <v>130408240</v>
      </c>
      <c r="Q43" s="379">
        <f t="shared" si="6"/>
        <v>68903324</v>
      </c>
      <c r="R43" s="379">
        <f t="shared" si="6"/>
        <v>36752226</v>
      </c>
      <c r="S43" s="379">
        <f t="shared" si="6"/>
        <v>12887342</v>
      </c>
      <c r="T43" s="379">
        <f t="shared" si="6"/>
        <v>5013961</v>
      </c>
      <c r="U43" s="379">
        <f t="shared" si="6"/>
        <v>77457759</v>
      </c>
      <c r="V43" s="363">
        <f t="shared" si="6"/>
        <v>0</v>
      </c>
      <c r="W43" s="363">
        <f t="shared" si="6"/>
        <v>0</v>
      </c>
      <c r="X43" s="379">
        <f t="shared" si="6"/>
        <v>5682578470</v>
      </c>
      <c r="Y43" s="379">
        <f>SUM(Y39:Y41)</f>
        <v>74996159</v>
      </c>
      <c r="Z43" s="379">
        <f aca="true" t="shared" si="7" ref="Z43:AL43">SUM(Z39:Z41)</f>
        <v>3507767358</v>
      </c>
      <c r="AA43" s="379">
        <f t="shared" si="7"/>
        <v>1455192021</v>
      </c>
      <c r="AB43" s="379">
        <f t="shared" si="7"/>
        <v>255802817</v>
      </c>
      <c r="AC43" s="379">
        <f t="shared" si="7"/>
        <v>53637100</v>
      </c>
      <c r="AD43" s="379">
        <f t="shared" si="7"/>
        <v>3760163</v>
      </c>
      <c r="AE43" s="379">
        <f t="shared" si="7"/>
        <v>130408240</v>
      </c>
      <c r="AF43" s="379">
        <f t="shared" si="7"/>
        <v>68903324</v>
      </c>
      <c r="AG43" s="379">
        <f t="shared" si="7"/>
        <v>36752226</v>
      </c>
      <c r="AH43" s="379">
        <f t="shared" si="7"/>
        <v>12887342</v>
      </c>
      <c r="AI43" s="379">
        <f t="shared" si="7"/>
        <v>5013961</v>
      </c>
      <c r="AJ43" s="379">
        <f t="shared" si="7"/>
        <v>15336569</v>
      </c>
      <c r="AK43" s="363">
        <f t="shared" si="7"/>
        <v>5620457280</v>
      </c>
      <c r="AL43" s="380">
        <f t="shared" si="7"/>
        <v>62121190</v>
      </c>
    </row>
    <row r="44" spans="1:38" ht="19.5" customHeight="1" thickTop="1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</row>
    <row r="46" spans="1:38" ht="19.5" customHeight="1">
      <c r="A46" s="302" t="s">
        <v>243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</row>
    <row r="47" ht="19.5" customHeight="1" thickBot="1"/>
    <row r="48" spans="1:38" ht="19.5" customHeight="1" thickBot="1" thickTop="1">
      <c r="A48" s="333" t="s">
        <v>96</v>
      </c>
      <c r="B48" s="334"/>
      <c r="C48" s="334"/>
      <c r="D48" s="334"/>
      <c r="E48" s="334"/>
      <c r="F48" s="334"/>
      <c r="G48" s="334"/>
      <c r="H48" s="335"/>
      <c r="I48" s="228" t="s">
        <v>211</v>
      </c>
      <c r="J48" s="228" t="s">
        <v>211</v>
      </c>
      <c r="K48" s="228" t="s">
        <v>211</v>
      </c>
      <c r="L48" s="228" t="s">
        <v>211</v>
      </c>
      <c r="M48" s="228" t="s">
        <v>211</v>
      </c>
      <c r="N48" s="228" t="s">
        <v>211</v>
      </c>
      <c r="O48" s="228" t="s">
        <v>211</v>
      </c>
      <c r="P48" s="228" t="s">
        <v>211</v>
      </c>
      <c r="Q48" s="228" t="s">
        <v>211</v>
      </c>
      <c r="R48" s="228" t="s">
        <v>211</v>
      </c>
      <c r="S48" s="228" t="s">
        <v>211</v>
      </c>
      <c r="T48" s="228" t="s">
        <v>211</v>
      </c>
      <c r="U48" s="228" t="s">
        <v>211</v>
      </c>
      <c r="V48" s="336" t="s">
        <v>21</v>
      </c>
      <c r="W48" s="337"/>
      <c r="X48" s="228" t="s">
        <v>211</v>
      </c>
      <c r="Y48" s="228" t="s">
        <v>101</v>
      </c>
      <c r="Z48" s="228" t="s">
        <v>101</v>
      </c>
      <c r="AA48" s="228" t="s">
        <v>101</v>
      </c>
      <c r="AB48" s="228" t="s">
        <v>101</v>
      </c>
      <c r="AC48" s="228" t="s">
        <v>101</v>
      </c>
      <c r="AD48" s="228" t="s">
        <v>101</v>
      </c>
      <c r="AE48" s="228" t="s">
        <v>101</v>
      </c>
      <c r="AF48" s="228" t="s">
        <v>101</v>
      </c>
      <c r="AG48" s="228" t="s">
        <v>101</v>
      </c>
      <c r="AH48" s="228" t="s">
        <v>101</v>
      </c>
      <c r="AI48" s="228" t="s">
        <v>101</v>
      </c>
      <c r="AJ48" s="228" t="s">
        <v>101</v>
      </c>
      <c r="AK48" s="338" t="s">
        <v>15</v>
      </c>
      <c r="AL48" s="339" t="s">
        <v>212</v>
      </c>
    </row>
    <row r="49" spans="1:38" ht="19.5" customHeight="1" thickTop="1">
      <c r="A49" s="354" t="s">
        <v>104</v>
      </c>
      <c r="B49" s="355" t="s">
        <v>105</v>
      </c>
      <c r="C49" s="355" t="s">
        <v>213</v>
      </c>
      <c r="D49" s="355" t="s">
        <v>214</v>
      </c>
      <c r="E49" s="355" t="s">
        <v>215</v>
      </c>
      <c r="F49" s="355" t="s">
        <v>216</v>
      </c>
      <c r="G49" s="355" t="s">
        <v>109</v>
      </c>
      <c r="H49" s="340" t="s">
        <v>26</v>
      </c>
      <c r="I49" s="341" t="s">
        <v>31</v>
      </c>
      <c r="J49" s="341" t="s">
        <v>218</v>
      </c>
      <c r="K49" s="341" t="s">
        <v>219</v>
      </c>
      <c r="L49" s="341" t="s">
        <v>220</v>
      </c>
      <c r="M49" s="341" t="s">
        <v>221</v>
      </c>
      <c r="N49" s="341" t="s">
        <v>222</v>
      </c>
      <c r="O49" s="341" t="s">
        <v>223</v>
      </c>
      <c r="P49" s="341" t="s">
        <v>224</v>
      </c>
      <c r="Q49" s="341" t="s">
        <v>225</v>
      </c>
      <c r="R49" s="341" t="s">
        <v>226</v>
      </c>
      <c r="S49" s="341" t="s">
        <v>227</v>
      </c>
      <c r="T49" s="341" t="s">
        <v>228</v>
      </c>
      <c r="U49" s="341" t="s">
        <v>229</v>
      </c>
      <c r="V49" s="342">
        <v>-3</v>
      </c>
      <c r="W49" s="343"/>
      <c r="X49" s="341" t="s">
        <v>15</v>
      </c>
      <c r="Y49" s="341" t="s">
        <v>218</v>
      </c>
      <c r="Z49" s="341" t="s">
        <v>219</v>
      </c>
      <c r="AA49" s="341" t="s">
        <v>220</v>
      </c>
      <c r="AB49" s="341" t="s">
        <v>221</v>
      </c>
      <c r="AC49" s="341" t="s">
        <v>222</v>
      </c>
      <c r="AD49" s="341" t="s">
        <v>223</v>
      </c>
      <c r="AE49" s="341" t="s">
        <v>224</v>
      </c>
      <c r="AF49" s="341" t="s">
        <v>225</v>
      </c>
      <c r="AG49" s="341" t="s">
        <v>226</v>
      </c>
      <c r="AH49" s="341" t="s">
        <v>227</v>
      </c>
      <c r="AI49" s="341" t="s">
        <v>228</v>
      </c>
      <c r="AJ49" s="341" t="s">
        <v>229</v>
      </c>
      <c r="AK49" s="344" t="s">
        <v>101</v>
      </c>
      <c r="AL49" s="345" t="s">
        <v>15</v>
      </c>
    </row>
    <row r="50" spans="1:38" ht="19.5" customHeight="1" thickBot="1">
      <c r="A50" s="356"/>
      <c r="B50" s="357"/>
      <c r="C50" s="357" t="s">
        <v>114</v>
      </c>
      <c r="D50" s="357" t="s">
        <v>115</v>
      </c>
      <c r="E50" s="357" t="s">
        <v>116</v>
      </c>
      <c r="F50" s="357"/>
      <c r="G50" s="357"/>
      <c r="H50" s="346"/>
      <c r="I50" s="229">
        <v>-1</v>
      </c>
      <c r="J50" s="347" t="s">
        <v>35</v>
      </c>
      <c r="K50" s="347" t="s">
        <v>35</v>
      </c>
      <c r="L50" s="347" t="s">
        <v>35</v>
      </c>
      <c r="M50" s="347" t="s">
        <v>35</v>
      </c>
      <c r="N50" s="347" t="s">
        <v>35</v>
      </c>
      <c r="O50" s="347" t="s">
        <v>35</v>
      </c>
      <c r="P50" s="347" t="s">
        <v>35</v>
      </c>
      <c r="Q50" s="347" t="s">
        <v>35</v>
      </c>
      <c r="R50" s="347" t="s">
        <v>35</v>
      </c>
      <c r="S50" s="347" t="s">
        <v>35</v>
      </c>
      <c r="T50" s="347" t="s">
        <v>35</v>
      </c>
      <c r="U50" s="347" t="s">
        <v>35</v>
      </c>
      <c r="V50" s="348" t="s">
        <v>230</v>
      </c>
      <c r="W50" s="348" t="s">
        <v>231</v>
      </c>
      <c r="X50" s="229" t="s">
        <v>232</v>
      </c>
      <c r="Y50" s="229">
        <v>-5</v>
      </c>
      <c r="Z50" s="229">
        <v>-5</v>
      </c>
      <c r="AA50" s="229">
        <v>-5</v>
      </c>
      <c r="AB50" s="229">
        <v>-5</v>
      </c>
      <c r="AC50" s="229">
        <v>-5</v>
      </c>
      <c r="AD50" s="229">
        <v>-5</v>
      </c>
      <c r="AE50" s="229">
        <v>-5</v>
      </c>
      <c r="AF50" s="229">
        <v>-5</v>
      </c>
      <c r="AG50" s="229">
        <v>-5</v>
      </c>
      <c r="AH50" s="229">
        <v>-5</v>
      </c>
      <c r="AI50" s="229">
        <v>-5</v>
      </c>
      <c r="AJ50" s="229">
        <v>-5</v>
      </c>
      <c r="AK50" s="229" t="s">
        <v>233</v>
      </c>
      <c r="AL50" s="349" t="s">
        <v>234</v>
      </c>
    </row>
    <row r="51" spans="1:38" ht="19.5" customHeight="1" thickBot="1" thickTop="1">
      <c r="A51" s="321"/>
      <c r="B51" s="321"/>
      <c r="C51" s="321"/>
      <c r="D51" s="321"/>
      <c r="E51" s="321"/>
      <c r="F51" s="321"/>
      <c r="G51" s="321"/>
      <c r="H51" s="322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2"/>
      <c r="W51" s="322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2"/>
      <c r="AL51" s="321"/>
    </row>
    <row r="52" spans="1:38" ht="24.75" customHeight="1" thickBot="1" thickTop="1">
      <c r="A52" s="381" t="s">
        <v>174</v>
      </c>
      <c r="B52" s="382" t="s">
        <v>134</v>
      </c>
      <c r="C52" s="382" t="s">
        <v>236</v>
      </c>
      <c r="D52" s="382"/>
      <c r="E52" s="382"/>
      <c r="F52" s="382"/>
      <c r="G52" s="382"/>
      <c r="H52" s="383" t="s">
        <v>241</v>
      </c>
      <c r="I52" s="384">
        <f>SUM(J52:W52)</f>
        <v>7542583811</v>
      </c>
      <c r="J52" s="382">
        <v>0</v>
      </c>
      <c r="K52" s="382">
        <v>2000000000</v>
      </c>
      <c r="L52" s="382">
        <v>1000000000</v>
      </c>
      <c r="M52" s="382">
        <v>473903987</v>
      </c>
      <c r="N52" s="382">
        <v>876325943</v>
      </c>
      <c r="O52" s="382">
        <v>700000000</v>
      </c>
      <c r="P52" s="382">
        <v>1065797975</v>
      </c>
      <c r="Q52" s="382">
        <v>603393386.58</v>
      </c>
      <c r="R52" s="382">
        <v>603393386.58</v>
      </c>
      <c r="S52" s="382">
        <v>144827088.84</v>
      </c>
      <c r="T52" s="382">
        <v>34664000</v>
      </c>
      <c r="U52" s="382">
        <v>40278044</v>
      </c>
      <c r="V52" s="385">
        <v>0</v>
      </c>
      <c r="W52" s="385">
        <v>0</v>
      </c>
      <c r="X52" s="384">
        <f>SUM($J52:U52,V52:W52)</f>
        <v>7542583811</v>
      </c>
      <c r="Y52" s="382">
        <f>'Res.Presupuestal'!AK33+CxP!AR31</f>
        <v>0</v>
      </c>
      <c r="Z52" s="382">
        <f>'Res.Presupuestal'!AL33+CxP!AS31</f>
        <v>1810329420</v>
      </c>
      <c r="AA52" s="382">
        <f>'Res.Presupuestal'!AM33+CxP!AT31</f>
        <v>937395571</v>
      </c>
      <c r="AB52" s="382">
        <f>'Res.Presupuestal'!AN33+CxP!AU31</f>
        <v>511747983</v>
      </c>
      <c r="AC52" s="382">
        <f>'Res.Presupuestal'!AO33+CxP!AV31</f>
        <v>1085148173</v>
      </c>
      <c r="AD52" s="382">
        <f>'Res.Presupuestal'!AP33+CxP!AW31</f>
        <v>697956300</v>
      </c>
      <c r="AE52" s="382">
        <f>'Res.Presupuestal'!AQ33+CxP!AX31</f>
        <v>1072412975</v>
      </c>
      <c r="AF52" s="382">
        <f>'Res.Presupuestal'!AR33+CxP!AY31</f>
        <v>604430869</v>
      </c>
      <c r="AG52" s="382">
        <f>'Res.Presupuestal'!AS33+CxP!AZ31</f>
        <v>602847497</v>
      </c>
      <c r="AH52" s="382">
        <f>'Res.Presupuestal'!AT33+CxP!BA31</f>
        <v>88723876</v>
      </c>
      <c r="AI52" s="382">
        <f>'Res.Presupuestal'!AU33+CxP!BB31</f>
        <v>90747213</v>
      </c>
      <c r="AJ52" s="382">
        <f>'Res.Presupuestal'!AV33+CxP!BC31</f>
        <v>565890</v>
      </c>
      <c r="AK52" s="392">
        <f>SUM(Y52:AJ52)</f>
        <v>7502305767</v>
      </c>
      <c r="AL52" s="380">
        <f>X52-AK52</f>
        <v>40278044</v>
      </c>
    </row>
    <row r="53" ht="19.5" customHeight="1" thickTop="1"/>
  </sheetData>
  <printOptions horizontalCentered="1" verticalCentered="1"/>
  <pageMargins left="1.1811023622047245" right="0.7480314960629921" top="0.42" bottom="0.95" header="0.13" footer="0.33"/>
  <pageSetup horizontalDpi="300" verticalDpi="300" orientation="landscape" paperSize="9" scale="45" r:id="rId2"/>
  <headerFooter alignWithMargins="0">
    <oddHeader>&amp;L                                GPR-&amp;D&amp;C&amp;16INFORME EJECUCIÓN DEL PAC VIGENCIA Y CUENTAS POR PAGAR&amp;RPág. &amp;P/&amp;N</oddHeader>
    <oddFooter xml:space="preserve">&amp;L&amp;16                      JORGE NELSON GAITÁN LEÓN
                     Jefe de Presupuesto&amp;C&amp;16MARTA LUCIA VILLEGAS BOTERO
Directora General &amp;R&amp;16JOSE LUIS  ACERO COLMENARES
Subdirector Financiero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45"/>
  <sheetViews>
    <sheetView showGridLines="0" zoomScale="80" zoomScaleNormal="80" workbookViewId="0" topLeftCell="F1">
      <pane xSplit="2" ySplit="5" topLeftCell="H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O6" sqref="O6"/>
    </sheetView>
  </sheetViews>
  <sheetFormatPr defaultColWidth="17.7109375" defaultRowHeight="12.75"/>
  <cols>
    <col min="1" max="1" width="3.00390625" style="101" customWidth="1"/>
    <col min="2" max="2" width="4.7109375" style="101" customWidth="1"/>
    <col min="3" max="5" width="6.7109375" style="101" customWidth="1"/>
    <col min="6" max="6" width="4.7109375" style="101" customWidth="1"/>
    <col min="7" max="7" width="55.7109375" style="103" customWidth="1"/>
    <col min="8" max="8" width="18.421875" style="98" hidden="1" customWidth="1"/>
    <col min="9" max="14" width="17.7109375" style="98" hidden="1" customWidth="1"/>
    <col min="15" max="15" width="17.7109375" style="98" customWidth="1"/>
    <col min="16" max="16" width="20.140625" style="98" customWidth="1"/>
    <col min="17" max="17" width="17.7109375" style="98" customWidth="1"/>
    <col min="18" max="23" width="17.7109375" style="98" hidden="1" customWidth="1"/>
    <col min="24" max="24" width="17.7109375" style="104" hidden="1" customWidth="1"/>
    <col min="25" max="28" width="17.7109375" style="98" hidden="1" customWidth="1"/>
    <col min="29" max="29" width="16.28125" style="98" customWidth="1"/>
    <col min="30" max="30" width="16.8515625" style="102" customWidth="1"/>
    <col min="31" max="36" width="17.7109375" style="98" hidden="1" customWidth="1"/>
    <col min="37" max="37" width="17.7109375" style="104" hidden="1" customWidth="1"/>
    <col min="38" max="41" width="17.7109375" style="98" hidden="1" customWidth="1"/>
    <col min="42" max="42" width="16.57421875" style="98" customWidth="1"/>
    <col min="43" max="43" width="16.28125" style="102" customWidth="1"/>
    <col min="44" max="49" width="17.7109375" style="98" hidden="1" customWidth="1"/>
    <col min="50" max="50" width="17.7109375" style="104" hidden="1" customWidth="1"/>
    <col min="51" max="54" width="17.7109375" style="98" hidden="1" customWidth="1"/>
    <col min="55" max="55" width="16.28125" style="98" customWidth="1"/>
    <col min="56" max="56" width="16.421875" style="102" customWidth="1"/>
    <col min="57" max="57" width="15.8515625" style="98" customWidth="1"/>
    <col min="58" max="16384" width="17.7109375" style="98" customWidth="1"/>
  </cols>
  <sheetData>
    <row r="1" spans="1:58" ht="24" customHeight="1">
      <c r="A1" s="92"/>
      <c r="B1" s="107"/>
      <c r="C1" s="28"/>
      <c r="D1" s="107"/>
      <c r="E1" s="107"/>
      <c r="F1" s="107"/>
      <c r="G1" s="93"/>
      <c r="H1" s="109" t="s">
        <v>0</v>
      </c>
      <c r="I1" s="110" t="s">
        <v>1</v>
      </c>
      <c r="J1" s="111"/>
      <c r="K1" s="110"/>
      <c r="L1" s="111"/>
      <c r="M1" s="112"/>
      <c r="N1" s="96" t="s">
        <v>2</v>
      </c>
      <c r="O1" s="230" t="s">
        <v>0</v>
      </c>
      <c r="P1" s="231" t="s">
        <v>1</v>
      </c>
      <c r="Q1" s="234" t="s">
        <v>2</v>
      </c>
      <c r="R1" s="118" t="s">
        <v>3</v>
      </c>
      <c r="S1" s="119" t="s">
        <v>4</v>
      </c>
      <c r="T1" s="119" t="s">
        <v>5</v>
      </c>
      <c r="U1" s="119" t="s">
        <v>6</v>
      </c>
      <c r="V1" s="119" t="s">
        <v>7</v>
      </c>
      <c r="W1" s="119" t="s">
        <v>8</v>
      </c>
      <c r="X1" s="120" t="s">
        <v>9</v>
      </c>
      <c r="Y1" s="119" t="s">
        <v>10</v>
      </c>
      <c r="Z1" s="119" t="s">
        <v>11</v>
      </c>
      <c r="AA1" s="119" t="s">
        <v>12</v>
      </c>
      <c r="AB1" s="119" t="s">
        <v>13</v>
      </c>
      <c r="AC1" s="119" t="s">
        <v>14</v>
      </c>
      <c r="AD1" s="259" t="s">
        <v>15</v>
      </c>
      <c r="AE1" s="118" t="s">
        <v>3</v>
      </c>
      <c r="AF1" s="119" t="s">
        <v>4</v>
      </c>
      <c r="AG1" s="119" t="s">
        <v>5</v>
      </c>
      <c r="AH1" s="119" t="s">
        <v>6</v>
      </c>
      <c r="AI1" s="119" t="s">
        <v>7</v>
      </c>
      <c r="AJ1" s="119" t="s">
        <v>8</v>
      </c>
      <c r="AK1" s="120" t="s">
        <v>9</v>
      </c>
      <c r="AL1" s="119" t="s">
        <v>10</v>
      </c>
      <c r="AM1" s="119" t="s">
        <v>11</v>
      </c>
      <c r="AN1" s="119" t="s">
        <v>12</v>
      </c>
      <c r="AO1" s="119" t="s">
        <v>13</v>
      </c>
      <c r="AP1" s="119" t="s">
        <v>14</v>
      </c>
      <c r="AQ1" s="259" t="s">
        <v>15</v>
      </c>
      <c r="AR1" s="118" t="s">
        <v>3</v>
      </c>
      <c r="AS1" s="191" t="s">
        <v>4</v>
      </c>
      <c r="AT1" s="191" t="s">
        <v>5</v>
      </c>
      <c r="AU1" s="191" t="s">
        <v>6</v>
      </c>
      <c r="AV1" s="191" t="s">
        <v>7</v>
      </c>
      <c r="AW1" s="191" t="s">
        <v>8</v>
      </c>
      <c r="AX1" s="192" t="s">
        <v>9</v>
      </c>
      <c r="AY1" s="191" t="s">
        <v>10</v>
      </c>
      <c r="AZ1" s="191" t="s">
        <v>11</v>
      </c>
      <c r="BA1" s="191" t="s">
        <v>12</v>
      </c>
      <c r="BB1" s="191" t="s">
        <v>13</v>
      </c>
      <c r="BC1" s="191" t="s">
        <v>14</v>
      </c>
      <c r="BD1" s="267" t="s">
        <v>15</v>
      </c>
      <c r="BE1" s="475" t="s">
        <v>16</v>
      </c>
      <c r="BF1" s="476"/>
    </row>
    <row r="2" spans="1:58" ht="24" customHeight="1" thickBot="1">
      <c r="A2" s="94"/>
      <c r="B2" s="108"/>
      <c r="C2" s="5"/>
      <c r="D2" s="108"/>
      <c r="E2" s="108"/>
      <c r="F2" s="108"/>
      <c r="G2" s="95"/>
      <c r="H2" s="113" t="s">
        <v>17</v>
      </c>
      <c r="I2" s="114"/>
      <c r="J2" s="115"/>
      <c r="K2" s="116"/>
      <c r="L2" s="116"/>
      <c r="M2" s="117"/>
      <c r="N2" s="97" t="s">
        <v>18</v>
      </c>
      <c r="O2" s="235" t="s">
        <v>17</v>
      </c>
      <c r="P2" s="236" t="s">
        <v>265</v>
      </c>
      <c r="Q2" s="240" t="s">
        <v>18</v>
      </c>
      <c r="R2" s="121">
        <v>2002</v>
      </c>
      <c r="S2" s="122">
        <v>2002</v>
      </c>
      <c r="T2" s="122">
        <v>2002</v>
      </c>
      <c r="U2" s="122">
        <v>2002</v>
      </c>
      <c r="V2" s="122">
        <v>2002</v>
      </c>
      <c r="W2" s="122">
        <v>2002</v>
      </c>
      <c r="X2" s="123">
        <v>2002</v>
      </c>
      <c r="Y2" s="122">
        <v>2002</v>
      </c>
      <c r="Z2" s="122">
        <v>2002</v>
      </c>
      <c r="AA2" s="122">
        <v>2002</v>
      </c>
      <c r="AB2" s="122">
        <v>2002</v>
      </c>
      <c r="AC2" s="122">
        <v>2002</v>
      </c>
      <c r="AD2" s="260">
        <v>2002</v>
      </c>
      <c r="AE2" s="121">
        <v>2002</v>
      </c>
      <c r="AF2" s="122">
        <v>2002</v>
      </c>
      <c r="AG2" s="122">
        <v>2002</v>
      </c>
      <c r="AH2" s="122">
        <v>2002</v>
      </c>
      <c r="AI2" s="122">
        <v>2002</v>
      </c>
      <c r="AJ2" s="122">
        <v>2002</v>
      </c>
      <c r="AK2" s="123">
        <v>2002</v>
      </c>
      <c r="AL2" s="122">
        <v>2002</v>
      </c>
      <c r="AM2" s="122">
        <v>2002</v>
      </c>
      <c r="AN2" s="122">
        <v>2002</v>
      </c>
      <c r="AO2" s="122">
        <v>2002</v>
      </c>
      <c r="AP2" s="122">
        <v>2002</v>
      </c>
      <c r="AQ2" s="260">
        <v>2002</v>
      </c>
      <c r="AR2" s="121">
        <v>2002</v>
      </c>
      <c r="AS2" s="193">
        <v>2002</v>
      </c>
      <c r="AT2" s="193">
        <v>2002</v>
      </c>
      <c r="AU2" s="193">
        <v>2002</v>
      </c>
      <c r="AV2" s="193">
        <v>2002</v>
      </c>
      <c r="AW2" s="193">
        <v>2002</v>
      </c>
      <c r="AX2" s="194">
        <v>2002</v>
      </c>
      <c r="AY2" s="193">
        <v>2002</v>
      </c>
      <c r="AZ2" s="193">
        <v>2002</v>
      </c>
      <c r="BA2" s="193">
        <v>2002</v>
      </c>
      <c r="BB2" s="193">
        <v>2002</v>
      </c>
      <c r="BC2" s="193">
        <v>2002</v>
      </c>
      <c r="BD2" s="268">
        <v>2002</v>
      </c>
      <c r="BE2" s="477">
        <f ca="1">TODAY()</f>
        <v>37837</v>
      </c>
      <c r="BF2" s="478"/>
    </row>
    <row r="3" spans="1:58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0"/>
      <c r="Y3" s="36"/>
      <c r="Z3" s="36"/>
      <c r="AA3" s="36"/>
      <c r="AB3" s="36"/>
      <c r="AC3" s="36"/>
      <c r="AD3" s="261"/>
      <c r="AE3" s="36"/>
      <c r="AF3" s="36"/>
      <c r="AG3" s="36"/>
      <c r="AH3" s="36"/>
      <c r="AI3" s="36"/>
      <c r="AJ3" s="36"/>
      <c r="AK3" s="40"/>
      <c r="AL3" s="36"/>
      <c r="AM3" s="36"/>
      <c r="AN3" s="36"/>
      <c r="AO3" s="36"/>
      <c r="AP3" s="36"/>
      <c r="AQ3" s="261"/>
      <c r="AR3" s="36"/>
      <c r="AS3" s="36"/>
      <c r="AT3" s="36"/>
      <c r="AU3" s="36"/>
      <c r="AV3" s="36"/>
      <c r="AW3" s="36"/>
      <c r="AX3" s="40"/>
      <c r="AY3" s="36"/>
      <c r="AZ3" s="36"/>
      <c r="BA3" s="36"/>
      <c r="BB3" s="36"/>
      <c r="BC3" s="36"/>
      <c r="BD3" s="261"/>
      <c r="BE3" s="36"/>
      <c r="BF3" s="36"/>
    </row>
    <row r="4" spans="1:58" ht="12.75">
      <c r="A4" s="143" t="s">
        <v>96</v>
      </c>
      <c r="B4" s="144"/>
      <c r="C4" s="144"/>
      <c r="D4" s="144"/>
      <c r="E4" s="144"/>
      <c r="F4" s="144"/>
      <c r="G4" s="145"/>
      <c r="H4" s="146" t="s">
        <v>97</v>
      </c>
      <c r="I4" s="147" t="s">
        <v>98</v>
      </c>
      <c r="J4" s="147"/>
      <c r="K4" s="147"/>
      <c r="L4" s="147"/>
      <c r="M4" s="147"/>
      <c r="N4" s="148" t="s">
        <v>97</v>
      </c>
      <c r="O4" s="147" t="s">
        <v>97</v>
      </c>
      <c r="P4" s="147" t="s">
        <v>98</v>
      </c>
      <c r="Q4" s="148" t="s">
        <v>97</v>
      </c>
      <c r="R4" s="146" t="s">
        <v>99</v>
      </c>
      <c r="S4" s="149" t="s">
        <v>99</v>
      </c>
      <c r="T4" s="149" t="s">
        <v>99</v>
      </c>
      <c r="U4" s="149" t="s">
        <v>99</v>
      </c>
      <c r="V4" s="149" t="s">
        <v>99</v>
      </c>
      <c r="W4" s="149" t="s">
        <v>99</v>
      </c>
      <c r="X4" s="150" t="s">
        <v>99</v>
      </c>
      <c r="Y4" s="149" t="s">
        <v>99</v>
      </c>
      <c r="Z4" s="149" t="s">
        <v>99</v>
      </c>
      <c r="AA4" s="149" t="s">
        <v>99</v>
      </c>
      <c r="AB4" s="149" t="s">
        <v>99</v>
      </c>
      <c r="AC4" s="149" t="s">
        <v>99</v>
      </c>
      <c r="AD4" s="262" t="s">
        <v>99</v>
      </c>
      <c r="AE4" s="146" t="s">
        <v>100</v>
      </c>
      <c r="AF4" s="149" t="s">
        <v>100</v>
      </c>
      <c r="AG4" s="149" t="s">
        <v>100</v>
      </c>
      <c r="AH4" s="149" t="s">
        <v>100</v>
      </c>
      <c r="AI4" s="149" t="s">
        <v>100</v>
      </c>
      <c r="AJ4" s="149" t="s">
        <v>100</v>
      </c>
      <c r="AK4" s="150" t="s">
        <v>100</v>
      </c>
      <c r="AL4" s="149" t="s">
        <v>100</v>
      </c>
      <c r="AM4" s="149" t="s">
        <v>100</v>
      </c>
      <c r="AN4" s="149" t="s">
        <v>100</v>
      </c>
      <c r="AO4" s="149" t="s">
        <v>100</v>
      </c>
      <c r="AP4" s="149" t="s">
        <v>100</v>
      </c>
      <c r="AQ4" s="262" t="s">
        <v>100</v>
      </c>
      <c r="AR4" s="146" t="s">
        <v>101</v>
      </c>
      <c r="AS4" s="170" t="s">
        <v>101</v>
      </c>
      <c r="AT4" s="170" t="s">
        <v>101</v>
      </c>
      <c r="AU4" s="170" t="s">
        <v>101</v>
      </c>
      <c r="AV4" s="170" t="s">
        <v>101</v>
      </c>
      <c r="AW4" s="170" t="s">
        <v>101</v>
      </c>
      <c r="AX4" s="171" t="s">
        <v>101</v>
      </c>
      <c r="AY4" s="170" t="s">
        <v>101</v>
      </c>
      <c r="AZ4" s="170" t="s">
        <v>101</v>
      </c>
      <c r="BA4" s="170" t="s">
        <v>101</v>
      </c>
      <c r="BB4" s="170" t="s">
        <v>101</v>
      </c>
      <c r="BC4" s="170" t="s">
        <v>101</v>
      </c>
      <c r="BD4" s="269" t="s">
        <v>101</v>
      </c>
      <c r="BE4" s="146" t="s">
        <v>24</v>
      </c>
      <c r="BF4" s="148" t="s">
        <v>103</v>
      </c>
    </row>
    <row r="5" spans="1:58" ht="12.75">
      <c r="A5" s="151" t="s">
        <v>104</v>
      </c>
      <c r="B5" s="152" t="s">
        <v>105</v>
      </c>
      <c r="C5" s="153" t="s">
        <v>106</v>
      </c>
      <c r="D5" s="152" t="s">
        <v>107</v>
      </c>
      <c r="E5" s="152" t="s">
        <v>108</v>
      </c>
      <c r="F5" s="152" t="s">
        <v>109</v>
      </c>
      <c r="G5" s="154" t="s">
        <v>26</v>
      </c>
      <c r="H5" s="155" t="s">
        <v>28</v>
      </c>
      <c r="I5" s="410" t="s">
        <v>110</v>
      </c>
      <c r="J5" s="411"/>
      <c r="K5" s="157"/>
      <c r="L5" s="157"/>
      <c r="M5" s="157"/>
      <c r="N5" s="158" t="s">
        <v>111</v>
      </c>
      <c r="O5" s="409" t="s">
        <v>28</v>
      </c>
      <c r="P5" s="410"/>
      <c r="Q5" s="158" t="s">
        <v>111</v>
      </c>
      <c r="R5" s="155" t="s">
        <v>3</v>
      </c>
      <c r="S5" s="159" t="s">
        <v>4</v>
      </c>
      <c r="T5" s="159" t="s">
        <v>5</v>
      </c>
      <c r="U5" s="159" t="s">
        <v>6</v>
      </c>
      <c r="V5" s="159" t="s">
        <v>7</v>
      </c>
      <c r="W5" s="159" t="s">
        <v>8</v>
      </c>
      <c r="X5" s="160" t="s">
        <v>9</v>
      </c>
      <c r="Y5" s="159" t="s">
        <v>10</v>
      </c>
      <c r="Z5" s="159" t="s">
        <v>11</v>
      </c>
      <c r="AA5" s="159" t="s">
        <v>12</v>
      </c>
      <c r="AB5" s="159" t="s">
        <v>13</v>
      </c>
      <c r="AC5" s="159" t="s">
        <v>14</v>
      </c>
      <c r="AD5" s="263" t="s">
        <v>32</v>
      </c>
      <c r="AE5" s="155" t="s">
        <v>3</v>
      </c>
      <c r="AF5" s="159" t="s">
        <v>4</v>
      </c>
      <c r="AG5" s="159" t="s">
        <v>5</v>
      </c>
      <c r="AH5" s="159" t="s">
        <v>6</v>
      </c>
      <c r="AI5" s="159" t="s">
        <v>7</v>
      </c>
      <c r="AJ5" s="159" t="s">
        <v>8</v>
      </c>
      <c r="AK5" s="160" t="s">
        <v>9</v>
      </c>
      <c r="AL5" s="159" t="s">
        <v>10</v>
      </c>
      <c r="AM5" s="159" t="s">
        <v>11</v>
      </c>
      <c r="AN5" s="159" t="s">
        <v>12</v>
      </c>
      <c r="AO5" s="159" t="s">
        <v>13</v>
      </c>
      <c r="AP5" s="159" t="s">
        <v>14</v>
      </c>
      <c r="AQ5" s="263" t="s">
        <v>32</v>
      </c>
      <c r="AR5" s="155" t="s">
        <v>3</v>
      </c>
      <c r="AS5" s="157" t="s">
        <v>4</v>
      </c>
      <c r="AT5" s="157" t="s">
        <v>5</v>
      </c>
      <c r="AU5" s="157" t="s">
        <v>6</v>
      </c>
      <c r="AV5" s="157" t="s">
        <v>7</v>
      </c>
      <c r="AW5" s="157" t="s">
        <v>8</v>
      </c>
      <c r="AX5" s="169" t="s">
        <v>9</v>
      </c>
      <c r="AY5" s="157" t="s">
        <v>10</v>
      </c>
      <c r="AZ5" s="157" t="s">
        <v>11</v>
      </c>
      <c r="BA5" s="157" t="s">
        <v>12</v>
      </c>
      <c r="BB5" s="157" t="s">
        <v>13</v>
      </c>
      <c r="BC5" s="157" t="s">
        <v>14</v>
      </c>
      <c r="BD5" s="270" t="s">
        <v>32</v>
      </c>
      <c r="BE5" s="155" t="s">
        <v>97</v>
      </c>
      <c r="BF5" s="158" t="s">
        <v>113</v>
      </c>
    </row>
    <row r="6" spans="1:58" ht="13.5" thickBot="1">
      <c r="A6" s="161"/>
      <c r="B6" s="162"/>
      <c r="C6" s="162" t="s">
        <v>114</v>
      </c>
      <c r="D6" s="162" t="s">
        <v>115</v>
      </c>
      <c r="E6" s="162" t="s">
        <v>116</v>
      </c>
      <c r="F6" s="162"/>
      <c r="G6" s="163"/>
      <c r="H6" s="164" t="s">
        <v>34</v>
      </c>
      <c r="I6" s="165" t="s">
        <v>117</v>
      </c>
      <c r="J6" s="165" t="s">
        <v>118</v>
      </c>
      <c r="K6" s="165" t="s">
        <v>119</v>
      </c>
      <c r="L6" s="165" t="s">
        <v>120</v>
      </c>
      <c r="M6" s="165" t="s">
        <v>121</v>
      </c>
      <c r="N6" s="166" t="s">
        <v>122</v>
      </c>
      <c r="O6" s="165" t="s">
        <v>34</v>
      </c>
      <c r="P6" s="165" t="s">
        <v>268</v>
      </c>
      <c r="Q6" s="166" t="s">
        <v>122</v>
      </c>
      <c r="R6" s="164"/>
      <c r="S6" s="167"/>
      <c r="T6" s="167"/>
      <c r="U6" s="167"/>
      <c r="V6" s="167"/>
      <c r="W6" s="167"/>
      <c r="X6" s="168"/>
      <c r="Y6" s="167"/>
      <c r="Z6" s="167"/>
      <c r="AA6" s="167"/>
      <c r="AB6" s="167"/>
      <c r="AC6" s="167"/>
      <c r="AD6" s="264" t="s">
        <v>126</v>
      </c>
      <c r="AE6" s="164"/>
      <c r="AF6" s="167"/>
      <c r="AG6" s="167"/>
      <c r="AH6" s="167"/>
      <c r="AI6" s="167"/>
      <c r="AJ6" s="167"/>
      <c r="AK6" s="168"/>
      <c r="AL6" s="167"/>
      <c r="AM6" s="167"/>
      <c r="AN6" s="167"/>
      <c r="AO6" s="167"/>
      <c r="AP6" s="167"/>
      <c r="AQ6" s="264" t="s">
        <v>38</v>
      </c>
      <c r="AR6" s="164"/>
      <c r="AS6" s="165"/>
      <c r="AT6" s="165"/>
      <c r="AU6" s="165"/>
      <c r="AV6" s="165"/>
      <c r="AW6" s="165"/>
      <c r="AX6" s="172"/>
      <c r="AY6" s="165"/>
      <c r="AZ6" s="165"/>
      <c r="BA6" s="165"/>
      <c r="BB6" s="165"/>
      <c r="BC6" s="165"/>
      <c r="BD6" s="271" t="s">
        <v>39</v>
      </c>
      <c r="BE6" s="164" t="s">
        <v>127</v>
      </c>
      <c r="BF6" s="166" t="s">
        <v>129</v>
      </c>
    </row>
    <row r="7" spans="1:58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0"/>
      <c r="Y7" s="36"/>
      <c r="Z7" s="36"/>
      <c r="AA7" s="36"/>
      <c r="AB7" s="36"/>
      <c r="AC7" s="36"/>
      <c r="AD7" s="261"/>
      <c r="AE7" s="36"/>
      <c r="AF7" s="36"/>
      <c r="AG7" s="36"/>
      <c r="AH7" s="36"/>
      <c r="AI7" s="36"/>
      <c r="AJ7" s="36"/>
      <c r="AK7" s="40"/>
      <c r="AL7" s="36"/>
      <c r="AM7" s="36"/>
      <c r="AN7" s="36"/>
      <c r="AO7" s="36"/>
      <c r="AP7" s="36"/>
      <c r="AQ7" s="261"/>
      <c r="AR7" s="36"/>
      <c r="AS7" s="36"/>
      <c r="AT7" s="36"/>
      <c r="AU7" s="36"/>
      <c r="AV7" s="36"/>
      <c r="AW7" s="36"/>
      <c r="AX7" s="40"/>
      <c r="AY7" s="36"/>
      <c r="AZ7" s="36"/>
      <c r="BA7" s="36"/>
      <c r="BB7" s="36"/>
      <c r="BC7" s="36"/>
      <c r="BD7" s="261"/>
      <c r="BE7" s="36"/>
      <c r="BF7" s="36"/>
    </row>
    <row r="8" spans="1:58" ht="13.5" thickBot="1">
      <c r="A8" s="124" t="s">
        <v>130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8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8"/>
      <c r="AY8" s="127"/>
      <c r="AZ8" s="127"/>
      <c r="BA8" s="127"/>
      <c r="BB8" s="127"/>
      <c r="BC8" s="127"/>
      <c r="BD8" s="127"/>
      <c r="BE8" s="127"/>
      <c r="BF8" s="129"/>
    </row>
    <row r="9" spans="1:58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0"/>
      <c r="Y9" s="36"/>
      <c r="Z9" s="36"/>
      <c r="AA9" s="36"/>
      <c r="AB9" s="36"/>
      <c r="AC9" s="36"/>
      <c r="AD9" s="261"/>
      <c r="AE9" s="36"/>
      <c r="AF9" s="36"/>
      <c r="AG9" s="36"/>
      <c r="AH9" s="36"/>
      <c r="AI9" s="36"/>
      <c r="AJ9" s="36"/>
      <c r="AK9" s="40"/>
      <c r="AL9" s="36"/>
      <c r="AM9" s="36"/>
      <c r="AN9" s="36"/>
      <c r="AO9" s="36"/>
      <c r="AP9" s="36"/>
      <c r="AQ9" s="261"/>
      <c r="AR9" s="36"/>
      <c r="AS9" s="36"/>
      <c r="AT9" s="36"/>
      <c r="AU9" s="36"/>
      <c r="AV9" s="36"/>
      <c r="AW9" s="36"/>
      <c r="AX9" s="40"/>
      <c r="AY9" s="36"/>
      <c r="AZ9" s="36"/>
      <c r="BA9" s="36"/>
      <c r="BB9" s="36"/>
      <c r="BC9" s="36"/>
      <c r="BD9" s="261"/>
      <c r="BE9" s="36"/>
      <c r="BF9" s="36"/>
    </row>
    <row r="10" spans="1:58" s="102" customFormat="1" ht="21" customHeight="1" thickBot="1">
      <c r="A10" s="175" t="s">
        <v>131</v>
      </c>
      <c r="B10" s="176" t="s">
        <v>132</v>
      </c>
      <c r="C10" s="176" t="s">
        <v>132</v>
      </c>
      <c r="D10" s="176" t="s">
        <v>132</v>
      </c>
      <c r="E10" s="176" t="s">
        <v>132</v>
      </c>
      <c r="F10" s="176"/>
      <c r="G10" s="177" t="s">
        <v>133</v>
      </c>
      <c r="H10" s="178">
        <f aca="true" t="shared" si="0" ref="H10:M10">H11+H13</f>
        <v>98761834</v>
      </c>
      <c r="I10" s="179">
        <f t="shared" si="0"/>
        <v>0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180">
        <f aca="true" t="shared" si="1" ref="N10:N15">SUM(H10:M10)</f>
        <v>98761834</v>
      </c>
      <c r="O10" s="178">
        <f>O11+O13</f>
        <v>98761834</v>
      </c>
      <c r="P10" s="179">
        <f>P11+P13</f>
        <v>0</v>
      </c>
      <c r="Q10" s="180">
        <f aca="true" t="shared" si="2" ref="Q10:Q15">SUM(O10:P10)</f>
        <v>98761834</v>
      </c>
      <c r="R10" s="178">
        <f aca="true" t="shared" si="3" ref="R10:AC10">R11+R13</f>
        <v>98761834</v>
      </c>
      <c r="S10" s="179">
        <f t="shared" si="3"/>
        <v>0</v>
      </c>
      <c r="T10" s="179">
        <f t="shared" si="3"/>
        <v>0</v>
      </c>
      <c r="U10" s="179">
        <f t="shared" si="3"/>
        <v>0</v>
      </c>
      <c r="V10" s="179">
        <f t="shared" si="3"/>
        <v>0</v>
      </c>
      <c r="W10" s="179">
        <f t="shared" si="3"/>
        <v>0</v>
      </c>
      <c r="X10" s="181">
        <f t="shared" si="3"/>
        <v>0</v>
      </c>
      <c r="Y10" s="179">
        <f t="shared" si="3"/>
        <v>0</v>
      </c>
      <c r="Z10" s="179">
        <f t="shared" si="3"/>
        <v>0</v>
      </c>
      <c r="AA10" s="179">
        <f t="shared" si="3"/>
        <v>0</v>
      </c>
      <c r="AB10" s="179">
        <f t="shared" si="3"/>
        <v>0</v>
      </c>
      <c r="AC10" s="179">
        <f t="shared" si="3"/>
        <v>0</v>
      </c>
      <c r="AD10" s="180">
        <f aca="true" t="shared" si="4" ref="AD10:AD15">SUM(R10:AC10)</f>
        <v>98761834</v>
      </c>
      <c r="AE10" s="178">
        <f aca="true" t="shared" si="5" ref="AE10:AP10">AE11+AE13</f>
        <v>98761834</v>
      </c>
      <c r="AF10" s="179">
        <f t="shared" si="5"/>
        <v>0</v>
      </c>
      <c r="AG10" s="179">
        <f t="shared" si="5"/>
        <v>0</v>
      </c>
      <c r="AH10" s="179">
        <f t="shared" si="5"/>
        <v>0</v>
      </c>
      <c r="AI10" s="179">
        <f t="shared" si="5"/>
        <v>0</v>
      </c>
      <c r="AJ10" s="179">
        <f t="shared" si="5"/>
        <v>0</v>
      </c>
      <c r="AK10" s="181">
        <f t="shared" si="5"/>
        <v>0</v>
      </c>
      <c r="AL10" s="179">
        <f t="shared" si="5"/>
        <v>0</v>
      </c>
      <c r="AM10" s="179">
        <f t="shared" si="5"/>
        <v>0</v>
      </c>
      <c r="AN10" s="179">
        <f t="shared" si="5"/>
        <v>0</v>
      </c>
      <c r="AO10" s="179">
        <f t="shared" si="5"/>
        <v>0</v>
      </c>
      <c r="AP10" s="179">
        <f t="shared" si="5"/>
        <v>0</v>
      </c>
      <c r="AQ10" s="180">
        <f aca="true" t="shared" si="6" ref="AQ10:AQ15">SUM(AE10:AP10)</f>
        <v>98761834</v>
      </c>
      <c r="AR10" s="178">
        <f aca="true" t="shared" si="7" ref="AR10:BC10">AR11+AR13</f>
        <v>36839473</v>
      </c>
      <c r="AS10" s="179">
        <f t="shared" si="7"/>
        <v>37275119</v>
      </c>
      <c r="AT10" s="179">
        <f t="shared" si="7"/>
        <v>9370021</v>
      </c>
      <c r="AU10" s="179">
        <f t="shared" si="7"/>
        <v>4946556</v>
      </c>
      <c r="AV10" s="179">
        <f t="shared" si="7"/>
        <v>639190</v>
      </c>
      <c r="AW10" s="179">
        <f t="shared" si="7"/>
        <v>0</v>
      </c>
      <c r="AX10" s="181">
        <f t="shared" si="7"/>
        <v>0</v>
      </c>
      <c r="AY10" s="179">
        <f t="shared" si="7"/>
        <v>0</v>
      </c>
      <c r="AZ10" s="179">
        <f t="shared" si="7"/>
        <v>0</v>
      </c>
      <c r="BA10" s="179">
        <f t="shared" si="7"/>
        <v>5766257</v>
      </c>
      <c r="BB10" s="179">
        <f t="shared" si="7"/>
        <v>599279</v>
      </c>
      <c r="BC10" s="179">
        <f t="shared" si="7"/>
        <v>600</v>
      </c>
      <c r="BD10" s="180">
        <f aca="true" t="shared" si="8" ref="BD10:BD15">SUM(AR10:BC10)</f>
        <v>95436495</v>
      </c>
      <c r="BE10" s="178">
        <f aca="true" t="shared" si="9" ref="BE10:BE15">Q10-AD10</f>
        <v>0</v>
      </c>
      <c r="BF10" s="180">
        <f aca="true" t="shared" si="10" ref="BF10:BF15">AQ10-BD10</f>
        <v>3325339</v>
      </c>
    </row>
    <row r="11" spans="1:58" s="102" customFormat="1" ht="21" customHeight="1">
      <c r="A11" s="182" t="s">
        <v>131</v>
      </c>
      <c r="B11" s="183" t="s">
        <v>134</v>
      </c>
      <c r="C11" s="184" t="s">
        <v>135</v>
      </c>
      <c r="D11" s="183" t="s">
        <v>132</v>
      </c>
      <c r="E11" s="183" t="s">
        <v>132</v>
      </c>
      <c r="F11" s="183"/>
      <c r="G11" s="185" t="s">
        <v>136</v>
      </c>
      <c r="H11" s="186">
        <f aca="true" t="shared" si="11" ref="H11:M11">SUM(H12:H12)</f>
        <v>2883033</v>
      </c>
      <c r="I11" s="187">
        <f t="shared" si="11"/>
        <v>0</v>
      </c>
      <c r="J11" s="187">
        <f t="shared" si="11"/>
        <v>0</v>
      </c>
      <c r="K11" s="187">
        <f t="shared" si="11"/>
        <v>0</v>
      </c>
      <c r="L11" s="187">
        <f t="shared" si="11"/>
        <v>0</v>
      </c>
      <c r="M11" s="187">
        <f t="shared" si="11"/>
        <v>0</v>
      </c>
      <c r="N11" s="188">
        <f t="shared" si="1"/>
        <v>2883033</v>
      </c>
      <c r="O11" s="186">
        <f>SUM(O12:O12)</f>
        <v>2883033</v>
      </c>
      <c r="P11" s="187">
        <f>SUM(P12:P12)</f>
        <v>0</v>
      </c>
      <c r="Q11" s="188">
        <f t="shared" si="2"/>
        <v>2883033</v>
      </c>
      <c r="R11" s="186">
        <f aca="true" t="shared" si="12" ref="R11:AC11">SUM(R12:R12)</f>
        <v>2883033</v>
      </c>
      <c r="S11" s="187">
        <f t="shared" si="12"/>
        <v>0</v>
      </c>
      <c r="T11" s="187">
        <f t="shared" si="12"/>
        <v>0</v>
      </c>
      <c r="U11" s="187">
        <f t="shared" si="12"/>
        <v>0</v>
      </c>
      <c r="V11" s="187">
        <f t="shared" si="12"/>
        <v>0</v>
      </c>
      <c r="W11" s="187">
        <f t="shared" si="12"/>
        <v>0</v>
      </c>
      <c r="X11" s="189">
        <f t="shared" si="12"/>
        <v>0</v>
      </c>
      <c r="Y11" s="187">
        <f t="shared" si="12"/>
        <v>0</v>
      </c>
      <c r="Z11" s="187">
        <f t="shared" si="12"/>
        <v>0</v>
      </c>
      <c r="AA11" s="187">
        <f t="shared" si="12"/>
        <v>0</v>
      </c>
      <c r="AB11" s="187">
        <f t="shared" si="12"/>
        <v>0</v>
      </c>
      <c r="AC11" s="187">
        <f t="shared" si="12"/>
        <v>0</v>
      </c>
      <c r="AD11" s="188">
        <f t="shared" si="4"/>
        <v>2883033</v>
      </c>
      <c r="AE11" s="186">
        <f aca="true" t="shared" si="13" ref="AE11:AP11">SUM(AE12:AE12)</f>
        <v>2883033</v>
      </c>
      <c r="AF11" s="187">
        <f t="shared" si="13"/>
        <v>0</v>
      </c>
      <c r="AG11" s="187">
        <f t="shared" si="13"/>
        <v>0</v>
      </c>
      <c r="AH11" s="187">
        <f t="shared" si="13"/>
        <v>0</v>
      </c>
      <c r="AI11" s="187">
        <f t="shared" si="13"/>
        <v>0</v>
      </c>
      <c r="AJ11" s="187">
        <f t="shared" si="13"/>
        <v>0</v>
      </c>
      <c r="AK11" s="189">
        <f t="shared" si="13"/>
        <v>0</v>
      </c>
      <c r="AL11" s="187">
        <f t="shared" si="13"/>
        <v>0</v>
      </c>
      <c r="AM11" s="187">
        <f t="shared" si="13"/>
        <v>0</v>
      </c>
      <c r="AN11" s="187">
        <f t="shared" si="13"/>
        <v>0</v>
      </c>
      <c r="AO11" s="187">
        <f t="shared" si="13"/>
        <v>0</v>
      </c>
      <c r="AP11" s="187">
        <f t="shared" si="13"/>
        <v>0</v>
      </c>
      <c r="AQ11" s="188">
        <f t="shared" si="6"/>
        <v>2883033</v>
      </c>
      <c r="AR11" s="186">
        <f aca="true" t="shared" si="14" ref="AR11:BC11">SUM(AR12:AR12)</f>
        <v>0</v>
      </c>
      <c r="AS11" s="187">
        <f t="shared" si="14"/>
        <v>759385</v>
      </c>
      <c r="AT11" s="187">
        <f t="shared" si="14"/>
        <v>1052100</v>
      </c>
      <c r="AU11" s="187">
        <f t="shared" si="14"/>
        <v>1051050</v>
      </c>
      <c r="AV11" s="187">
        <f t="shared" si="14"/>
        <v>0</v>
      </c>
      <c r="AW11" s="187">
        <f t="shared" si="14"/>
        <v>0</v>
      </c>
      <c r="AX11" s="189">
        <f t="shared" si="14"/>
        <v>0</v>
      </c>
      <c r="AY11" s="187">
        <f t="shared" si="14"/>
        <v>0</v>
      </c>
      <c r="AZ11" s="187">
        <f t="shared" si="14"/>
        <v>0</v>
      </c>
      <c r="BA11" s="187">
        <f t="shared" si="14"/>
        <v>0</v>
      </c>
      <c r="BB11" s="187">
        <f t="shared" si="14"/>
        <v>0</v>
      </c>
      <c r="BC11" s="187">
        <f t="shared" si="14"/>
        <v>0</v>
      </c>
      <c r="BD11" s="188">
        <f t="shared" si="8"/>
        <v>2862535</v>
      </c>
      <c r="BE11" s="272">
        <f t="shared" si="9"/>
        <v>0</v>
      </c>
      <c r="BF11" s="274">
        <f t="shared" si="10"/>
        <v>20498</v>
      </c>
    </row>
    <row r="12" spans="1:58" ht="21" customHeight="1">
      <c r="A12" s="136" t="s">
        <v>131</v>
      </c>
      <c r="B12" s="130" t="s">
        <v>134</v>
      </c>
      <c r="C12" s="130" t="s">
        <v>137</v>
      </c>
      <c r="D12" s="130" t="s">
        <v>140</v>
      </c>
      <c r="E12" s="130" t="s">
        <v>148</v>
      </c>
      <c r="F12" s="130" t="s">
        <v>138</v>
      </c>
      <c r="G12" s="131" t="s">
        <v>149</v>
      </c>
      <c r="H12" s="173">
        <f>Q12-SUM(I12:M12)</f>
        <v>2883033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257">
        <f t="shared" si="1"/>
        <v>2883033</v>
      </c>
      <c r="O12" s="173">
        <v>2883033</v>
      </c>
      <c r="P12" s="132">
        <v>0</v>
      </c>
      <c r="Q12" s="257">
        <f t="shared" si="2"/>
        <v>2883033</v>
      </c>
      <c r="R12" s="173">
        <v>2883033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257">
        <f t="shared" si="4"/>
        <v>2883033</v>
      </c>
      <c r="AE12" s="173">
        <f>R12</f>
        <v>2883033</v>
      </c>
      <c r="AF12" s="132">
        <f aca="true" t="shared" si="15" ref="AF12:AP12">S12</f>
        <v>0</v>
      </c>
      <c r="AG12" s="132">
        <f t="shared" si="15"/>
        <v>0</v>
      </c>
      <c r="AH12" s="132">
        <f t="shared" si="15"/>
        <v>0</v>
      </c>
      <c r="AI12" s="132">
        <f t="shared" si="15"/>
        <v>0</v>
      </c>
      <c r="AJ12" s="132">
        <f t="shared" si="15"/>
        <v>0</v>
      </c>
      <c r="AK12" s="133">
        <f t="shared" si="15"/>
        <v>0</v>
      </c>
      <c r="AL12" s="132">
        <f t="shared" si="15"/>
        <v>0</v>
      </c>
      <c r="AM12" s="132">
        <f t="shared" si="15"/>
        <v>0</v>
      </c>
      <c r="AN12" s="132">
        <f t="shared" si="15"/>
        <v>0</v>
      </c>
      <c r="AO12" s="132">
        <f t="shared" si="15"/>
        <v>0</v>
      </c>
      <c r="AP12" s="132">
        <f t="shared" si="15"/>
        <v>0</v>
      </c>
      <c r="AQ12" s="257">
        <f t="shared" si="6"/>
        <v>2883033</v>
      </c>
      <c r="AR12" s="173">
        <v>0</v>
      </c>
      <c r="AS12" s="132">
        <v>759385</v>
      </c>
      <c r="AT12" s="132">
        <v>1052100</v>
      </c>
      <c r="AU12" s="132">
        <v>1051050</v>
      </c>
      <c r="AV12" s="132">
        <v>0</v>
      </c>
      <c r="AW12" s="132">
        <v>0</v>
      </c>
      <c r="AX12" s="133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257">
        <f t="shared" si="8"/>
        <v>2862535</v>
      </c>
      <c r="BE12" s="275">
        <f t="shared" si="9"/>
        <v>0</v>
      </c>
      <c r="BF12" s="277">
        <f t="shared" si="10"/>
        <v>20498</v>
      </c>
    </row>
    <row r="13" spans="1:58" s="102" customFormat="1" ht="21" customHeight="1">
      <c r="A13" s="182" t="s">
        <v>131</v>
      </c>
      <c r="B13" s="183" t="s">
        <v>134</v>
      </c>
      <c r="C13" s="184" t="s">
        <v>140</v>
      </c>
      <c r="D13" s="183" t="s">
        <v>132</v>
      </c>
      <c r="E13" s="183" t="s">
        <v>132</v>
      </c>
      <c r="F13" s="183"/>
      <c r="G13" s="185" t="s">
        <v>154</v>
      </c>
      <c r="H13" s="186">
        <f aca="true" t="shared" si="16" ref="H13:M13">SUM(H14:H15)</f>
        <v>95878801</v>
      </c>
      <c r="I13" s="187">
        <f t="shared" si="16"/>
        <v>0</v>
      </c>
      <c r="J13" s="187">
        <f t="shared" si="16"/>
        <v>0</v>
      </c>
      <c r="K13" s="187">
        <f t="shared" si="16"/>
        <v>0</v>
      </c>
      <c r="L13" s="187">
        <f t="shared" si="16"/>
        <v>0</v>
      </c>
      <c r="M13" s="187">
        <f t="shared" si="16"/>
        <v>0</v>
      </c>
      <c r="N13" s="188">
        <f t="shared" si="1"/>
        <v>95878801</v>
      </c>
      <c r="O13" s="186">
        <f>SUM(O14:O15)</f>
        <v>95878801</v>
      </c>
      <c r="P13" s="187">
        <f>SUM(P14:P15)</f>
        <v>0</v>
      </c>
      <c r="Q13" s="188">
        <f t="shared" si="2"/>
        <v>95878801</v>
      </c>
      <c r="R13" s="186">
        <f aca="true" t="shared" si="17" ref="R13:AC13">SUM(R14:R15)</f>
        <v>95878801</v>
      </c>
      <c r="S13" s="187">
        <f t="shared" si="17"/>
        <v>0</v>
      </c>
      <c r="T13" s="187">
        <f t="shared" si="17"/>
        <v>0</v>
      </c>
      <c r="U13" s="187">
        <f t="shared" si="17"/>
        <v>0</v>
      </c>
      <c r="V13" s="187">
        <f t="shared" si="17"/>
        <v>0</v>
      </c>
      <c r="W13" s="187">
        <f t="shared" si="17"/>
        <v>0</v>
      </c>
      <c r="X13" s="189">
        <f t="shared" si="17"/>
        <v>0</v>
      </c>
      <c r="Y13" s="187">
        <f t="shared" si="17"/>
        <v>0</v>
      </c>
      <c r="Z13" s="187">
        <f t="shared" si="17"/>
        <v>0</v>
      </c>
      <c r="AA13" s="187">
        <f t="shared" si="17"/>
        <v>0</v>
      </c>
      <c r="AB13" s="187">
        <f t="shared" si="17"/>
        <v>0</v>
      </c>
      <c r="AC13" s="187">
        <f t="shared" si="17"/>
        <v>0</v>
      </c>
      <c r="AD13" s="188">
        <f t="shared" si="4"/>
        <v>95878801</v>
      </c>
      <c r="AE13" s="186">
        <f aca="true" t="shared" si="18" ref="AE13:AP13">SUM(AE14:AE15)</f>
        <v>95878801</v>
      </c>
      <c r="AF13" s="187">
        <f t="shared" si="18"/>
        <v>0</v>
      </c>
      <c r="AG13" s="187">
        <f t="shared" si="18"/>
        <v>0</v>
      </c>
      <c r="AH13" s="187">
        <f t="shared" si="18"/>
        <v>0</v>
      </c>
      <c r="AI13" s="187">
        <f t="shared" si="18"/>
        <v>0</v>
      </c>
      <c r="AJ13" s="187">
        <f t="shared" si="18"/>
        <v>0</v>
      </c>
      <c r="AK13" s="189">
        <f t="shared" si="18"/>
        <v>0</v>
      </c>
      <c r="AL13" s="187">
        <f t="shared" si="18"/>
        <v>0</v>
      </c>
      <c r="AM13" s="187">
        <f t="shared" si="18"/>
        <v>0</v>
      </c>
      <c r="AN13" s="187">
        <f t="shared" si="18"/>
        <v>0</v>
      </c>
      <c r="AO13" s="187">
        <f t="shared" si="18"/>
        <v>0</v>
      </c>
      <c r="AP13" s="187">
        <f t="shared" si="18"/>
        <v>0</v>
      </c>
      <c r="AQ13" s="188">
        <f t="shared" si="6"/>
        <v>95878801</v>
      </c>
      <c r="AR13" s="186">
        <f aca="true" t="shared" si="19" ref="AR13:BC13">SUM(AR14:AR15)</f>
        <v>36839473</v>
      </c>
      <c r="AS13" s="187">
        <f t="shared" si="19"/>
        <v>36515734</v>
      </c>
      <c r="AT13" s="187">
        <f t="shared" si="19"/>
        <v>8317921</v>
      </c>
      <c r="AU13" s="187">
        <f t="shared" si="19"/>
        <v>3895506</v>
      </c>
      <c r="AV13" s="187">
        <f t="shared" si="19"/>
        <v>639190</v>
      </c>
      <c r="AW13" s="187">
        <f t="shared" si="19"/>
        <v>0</v>
      </c>
      <c r="AX13" s="189">
        <f t="shared" si="19"/>
        <v>0</v>
      </c>
      <c r="AY13" s="187">
        <f t="shared" si="19"/>
        <v>0</v>
      </c>
      <c r="AZ13" s="187">
        <f t="shared" si="19"/>
        <v>0</v>
      </c>
      <c r="BA13" s="187">
        <f t="shared" si="19"/>
        <v>5766257</v>
      </c>
      <c r="BB13" s="187">
        <f t="shared" si="19"/>
        <v>599279</v>
      </c>
      <c r="BC13" s="187">
        <f t="shared" si="19"/>
        <v>600</v>
      </c>
      <c r="BD13" s="188">
        <f t="shared" si="8"/>
        <v>92573960</v>
      </c>
      <c r="BE13" s="272">
        <f t="shared" si="9"/>
        <v>0</v>
      </c>
      <c r="BF13" s="274">
        <f t="shared" si="10"/>
        <v>3304841</v>
      </c>
    </row>
    <row r="14" spans="1:58" ht="21" customHeight="1">
      <c r="A14" s="136" t="s">
        <v>131</v>
      </c>
      <c r="B14" s="130" t="s">
        <v>134</v>
      </c>
      <c r="C14" s="130" t="s">
        <v>155</v>
      </c>
      <c r="D14" s="130" t="s">
        <v>135</v>
      </c>
      <c r="E14" s="130" t="s">
        <v>132</v>
      </c>
      <c r="F14" s="130" t="s">
        <v>192</v>
      </c>
      <c r="G14" s="131" t="s">
        <v>156</v>
      </c>
      <c r="H14" s="173">
        <f>Q14-SUM(I14:M14)</f>
        <v>26383188</v>
      </c>
      <c r="I14" s="132">
        <v>0</v>
      </c>
      <c r="J14" s="132">
        <v>0</v>
      </c>
      <c r="K14" s="132">
        <v>0</v>
      </c>
      <c r="L14" s="132">
        <v>0</v>
      </c>
      <c r="M14" s="132"/>
      <c r="N14" s="257">
        <f t="shared" si="1"/>
        <v>26383188</v>
      </c>
      <c r="O14" s="173">
        <v>26383188</v>
      </c>
      <c r="P14" s="132">
        <v>0</v>
      </c>
      <c r="Q14" s="257">
        <f t="shared" si="2"/>
        <v>26383188</v>
      </c>
      <c r="R14" s="173">
        <v>26383188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3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257">
        <f t="shared" si="4"/>
        <v>26383188</v>
      </c>
      <c r="AE14" s="173">
        <f aca="true" t="shared" si="20" ref="AE14:AP15">R14</f>
        <v>26383188</v>
      </c>
      <c r="AF14" s="132">
        <f t="shared" si="20"/>
        <v>0</v>
      </c>
      <c r="AG14" s="132">
        <f t="shared" si="20"/>
        <v>0</v>
      </c>
      <c r="AH14" s="132">
        <f t="shared" si="20"/>
        <v>0</v>
      </c>
      <c r="AI14" s="132">
        <f t="shared" si="20"/>
        <v>0</v>
      </c>
      <c r="AJ14" s="132">
        <f t="shared" si="20"/>
        <v>0</v>
      </c>
      <c r="AK14" s="133">
        <f t="shared" si="20"/>
        <v>0</v>
      </c>
      <c r="AL14" s="132">
        <f t="shared" si="20"/>
        <v>0</v>
      </c>
      <c r="AM14" s="132">
        <f t="shared" si="20"/>
        <v>0</v>
      </c>
      <c r="AN14" s="132">
        <f t="shared" si="20"/>
        <v>0</v>
      </c>
      <c r="AO14" s="132">
        <f t="shared" si="20"/>
        <v>0</v>
      </c>
      <c r="AP14" s="132">
        <f t="shared" si="20"/>
        <v>0</v>
      </c>
      <c r="AQ14" s="257">
        <f t="shared" si="6"/>
        <v>26383188</v>
      </c>
      <c r="AR14" s="173">
        <v>17164851</v>
      </c>
      <c r="AS14" s="132">
        <v>6214685</v>
      </c>
      <c r="AT14" s="132">
        <v>200000</v>
      </c>
      <c r="AU14" s="132">
        <v>0</v>
      </c>
      <c r="AV14" s="132">
        <v>0</v>
      </c>
      <c r="AW14" s="132">
        <v>0</v>
      </c>
      <c r="AX14" s="133">
        <v>0</v>
      </c>
      <c r="AY14" s="132">
        <v>0</v>
      </c>
      <c r="AZ14" s="132">
        <v>0</v>
      </c>
      <c r="BA14" s="132">
        <v>2201886</v>
      </c>
      <c r="BB14" s="132">
        <v>0</v>
      </c>
      <c r="BC14" s="132">
        <v>600</v>
      </c>
      <c r="BD14" s="257">
        <f t="shared" si="8"/>
        <v>25782022</v>
      </c>
      <c r="BE14" s="275">
        <f t="shared" si="9"/>
        <v>0</v>
      </c>
      <c r="BF14" s="277">
        <f t="shared" si="10"/>
        <v>601166</v>
      </c>
    </row>
    <row r="15" spans="1:58" ht="21" customHeight="1" thickBot="1">
      <c r="A15" s="137" t="s">
        <v>131</v>
      </c>
      <c r="B15" s="138" t="s">
        <v>134</v>
      </c>
      <c r="C15" s="138" t="s">
        <v>155</v>
      </c>
      <c r="D15" s="138" t="s">
        <v>140</v>
      </c>
      <c r="E15" s="138" t="s">
        <v>132</v>
      </c>
      <c r="F15" s="138" t="s">
        <v>192</v>
      </c>
      <c r="G15" s="190" t="s">
        <v>157</v>
      </c>
      <c r="H15" s="174">
        <f>Q15-SUM(I15:M15)</f>
        <v>69495613</v>
      </c>
      <c r="I15" s="141">
        <v>0</v>
      </c>
      <c r="J15" s="141">
        <v>0</v>
      </c>
      <c r="K15" s="141">
        <v>0</v>
      </c>
      <c r="L15" s="141">
        <v>0</v>
      </c>
      <c r="M15" s="141"/>
      <c r="N15" s="258">
        <f t="shared" si="1"/>
        <v>69495613</v>
      </c>
      <c r="O15" s="174">
        <v>69495613</v>
      </c>
      <c r="P15" s="141">
        <v>0</v>
      </c>
      <c r="Q15" s="258">
        <f t="shared" si="2"/>
        <v>69495613</v>
      </c>
      <c r="R15" s="174">
        <v>69495613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2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258">
        <f t="shared" si="4"/>
        <v>69495613</v>
      </c>
      <c r="AE15" s="174">
        <f t="shared" si="20"/>
        <v>69495613</v>
      </c>
      <c r="AF15" s="141">
        <f t="shared" si="20"/>
        <v>0</v>
      </c>
      <c r="AG15" s="141">
        <f t="shared" si="20"/>
        <v>0</v>
      </c>
      <c r="AH15" s="141">
        <f t="shared" si="20"/>
        <v>0</v>
      </c>
      <c r="AI15" s="141">
        <f t="shared" si="20"/>
        <v>0</v>
      </c>
      <c r="AJ15" s="141">
        <f t="shared" si="20"/>
        <v>0</v>
      </c>
      <c r="AK15" s="142">
        <f t="shared" si="20"/>
        <v>0</v>
      </c>
      <c r="AL15" s="141">
        <f t="shared" si="20"/>
        <v>0</v>
      </c>
      <c r="AM15" s="141">
        <f t="shared" si="20"/>
        <v>0</v>
      </c>
      <c r="AN15" s="141">
        <f t="shared" si="20"/>
        <v>0</v>
      </c>
      <c r="AO15" s="141">
        <f t="shared" si="20"/>
        <v>0</v>
      </c>
      <c r="AP15" s="141">
        <f t="shared" si="20"/>
        <v>0</v>
      </c>
      <c r="AQ15" s="258">
        <f t="shared" si="6"/>
        <v>69495613</v>
      </c>
      <c r="AR15" s="174">
        <v>19674622</v>
      </c>
      <c r="AS15" s="141">
        <v>30301049</v>
      </c>
      <c r="AT15" s="141">
        <v>8117921</v>
      </c>
      <c r="AU15" s="141">
        <v>3895506</v>
      </c>
      <c r="AV15" s="141">
        <v>639190</v>
      </c>
      <c r="AW15" s="142">
        <v>0</v>
      </c>
      <c r="AX15" s="142">
        <v>0</v>
      </c>
      <c r="AY15" s="141">
        <v>0</v>
      </c>
      <c r="AZ15" s="141">
        <v>0</v>
      </c>
      <c r="BA15" s="141">
        <v>3564371</v>
      </c>
      <c r="BB15" s="141">
        <v>599279</v>
      </c>
      <c r="BC15" s="141">
        <v>0</v>
      </c>
      <c r="BD15" s="258">
        <f t="shared" si="8"/>
        <v>66791938</v>
      </c>
      <c r="BE15" s="278">
        <f t="shared" si="9"/>
        <v>0</v>
      </c>
      <c r="BF15" s="280">
        <f t="shared" si="10"/>
        <v>2703675</v>
      </c>
    </row>
    <row r="16" spans="1:58" ht="13.5" thickBot="1">
      <c r="A16" s="38"/>
      <c r="B16" s="38"/>
      <c r="C16" s="38"/>
      <c r="D16" s="38"/>
      <c r="E16" s="38"/>
      <c r="F16" s="38"/>
      <c r="G16" s="39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0"/>
      <c r="Y16" s="36"/>
      <c r="Z16" s="36"/>
      <c r="AA16" s="36"/>
      <c r="AB16" s="36"/>
      <c r="AC16" s="36"/>
      <c r="AD16" s="261"/>
      <c r="AE16" s="36"/>
      <c r="AF16" s="36"/>
      <c r="AG16" s="36"/>
      <c r="AH16" s="36"/>
      <c r="AI16" s="36"/>
      <c r="AJ16" s="36"/>
      <c r="AK16" s="40"/>
      <c r="AL16" s="36"/>
      <c r="AM16" s="36"/>
      <c r="AN16" s="36"/>
      <c r="AO16" s="36"/>
      <c r="AP16" s="36"/>
      <c r="AQ16" s="261"/>
      <c r="AR16" s="36"/>
      <c r="AS16" s="36"/>
      <c r="AT16" s="36"/>
      <c r="AU16" s="36"/>
      <c r="AV16" s="36"/>
      <c r="AW16" s="36"/>
      <c r="AX16" s="40"/>
      <c r="AY16" s="36"/>
      <c r="AZ16" s="36"/>
      <c r="BA16" s="36"/>
      <c r="BB16" s="36"/>
      <c r="BC16" s="36"/>
      <c r="BD16" s="261"/>
      <c r="BE16" s="36"/>
      <c r="BF16" s="36"/>
    </row>
    <row r="17" spans="1:58" ht="13.5" thickBot="1">
      <c r="A17" s="175" t="s">
        <v>174</v>
      </c>
      <c r="B17" s="176"/>
      <c r="C17" s="176"/>
      <c r="D17" s="176"/>
      <c r="E17" s="176"/>
      <c r="F17" s="176"/>
      <c r="G17" s="177" t="s">
        <v>175</v>
      </c>
      <c r="H17" s="178">
        <f aca="true" t="shared" si="21" ref="H17:AI17">H21+H31</f>
        <v>711903671</v>
      </c>
      <c r="I17" s="179">
        <f t="shared" si="21"/>
        <v>0</v>
      </c>
      <c r="J17" s="179">
        <f t="shared" si="21"/>
        <v>0</v>
      </c>
      <c r="K17" s="179">
        <f t="shared" si="21"/>
        <v>0</v>
      </c>
      <c r="L17" s="179">
        <f t="shared" si="21"/>
        <v>0</v>
      </c>
      <c r="M17" s="179">
        <f t="shared" si="21"/>
        <v>0</v>
      </c>
      <c r="N17" s="180">
        <f t="shared" si="21"/>
        <v>711903671</v>
      </c>
      <c r="O17" s="178">
        <f t="shared" si="21"/>
        <v>711903671</v>
      </c>
      <c r="P17" s="179">
        <f t="shared" si="21"/>
        <v>0</v>
      </c>
      <c r="Q17" s="180">
        <f t="shared" si="21"/>
        <v>711903671</v>
      </c>
      <c r="R17" s="178">
        <f t="shared" si="21"/>
        <v>711903671</v>
      </c>
      <c r="S17" s="179">
        <f t="shared" si="21"/>
        <v>0</v>
      </c>
      <c r="T17" s="179">
        <f t="shared" si="21"/>
        <v>0</v>
      </c>
      <c r="U17" s="179">
        <f t="shared" si="21"/>
        <v>0</v>
      </c>
      <c r="V17" s="179">
        <f t="shared" si="21"/>
        <v>0</v>
      </c>
      <c r="W17" s="179">
        <f t="shared" si="21"/>
        <v>0</v>
      </c>
      <c r="X17" s="181">
        <f t="shared" si="21"/>
        <v>0</v>
      </c>
      <c r="Y17" s="179">
        <f t="shared" si="21"/>
        <v>0</v>
      </c>
      <c r="Z17" s="179">
        <f t="shared" si="21"/>
        <v>0</v>
      </c>
      <c r="AA17" s="179">
        <f t="shared" si="21"/>
        <v>0</v>
      </c>
      <c r="AB17" s="179">
        <f t="shared" si="21"/>
        <v>0</v>
      </c>
      <c r="AC17" s="179">
        <f t="shared" si="21"/>
        <v>0</v>
      </c>
      <c r="AD17" s="180">
        <f t="shared" si="21"/>
        <v>711903671</v>
      </c>
      <c r="AE17" s="178">
        <f t="shared" si="21"/>
        <v>711903671</v>
      </c>
      <c r="AF17" s="179">
        <f t="shared" si="21"/>
        <v>0</v>
      </c>
      <c r="AG17" s="179">
        <f t="shared" si="21"/>
        <v>0</v>
      </c>
      <c r="AH17" s="179">
        <f t="shared" si="21"/>
        <v>0</v>
      </c>
      <c r="AI17" s="179">
        <f t="shared" si="21"/>
        <v>0</v>
      </c>
      <c r="AJ17" s="179">
        <f aca="true" t="shared" si="22" ref="AJ17:BF17">AJ21+AJ31</f>
        <v>0</v>
      </c>
      <c r="AK17" s="181">
        <f t="shared" si="22"/>
        <v>0</v>
      </c>
      <c r="AL17" s="179">
        <f t="shared" si="22"/>
        <v>0</v>
      </c>
      <c r="AM17" s="179">
        <f t="shared" si="22"/>
        <v>0</v>
      </c>
      <c r="AN17" s="179">
        <f t="shared" si="22"/>
        <v>0</v>
      </c>
      <c r="AO17" s="179">
        <f t="shared" si="22"/>
        <v>0</v>
      </c>
      <c r="AP17" s="179">
        <f t="shared" si="22"/>
        <v>0</v>
      </c>
      <c r="AQ17" s="180">
        <f t="shared" si="22"/>
        <v>711903671</v>
      </c>
      <c r="AR17" s="178">
        <f t="shared" si="22"/>
        <v>14360194</v>
      </c>
      <c r="AS17" s="179">
        <f t="shared" si="22"/>
        <v>198123303</v>
      </c>
      <c r="AT17" s="179">
        <f t="shared" si="22"/>
        <v>379905253</v>
      </c>
      <c r="AU17" s="179">
        <f t="shared" si="22"/>
        <v>0</v>
      </c>
      <c r="AV17" s="179">
        <f t="shared" si="22"/>
        <v>0</v>
      </c>
      <c r="AW17" s="179">
        <f t="shared" si="22"/>
        <v>45765000</v>
      </c>
      <c r="AX17" s="181">
        <f t="shared" si="22"/>
        <v>58461817</v>
      </c>
      <c r="AY17" s="179">
        <f t="shared" si="22"/>
        <v>9999910</v>
      </c>
      <c r="AZ17" s="179">
        <f t="shared" si="22"/>
        <v>0</v>
      </c>
      <c r="BA17" s="179">
        <f t="shared" si="22"/>
        <v>405</v>
      </c>
      <c r="BB17" s="179">
        <f t="shared" si="22"/>
        <v>2051715</v>
      </c>
      <c r="BC17" s="179">
        <f t="shared" si="22"/>
        <v>-9487727</v>
      </c>
      <c r="BD17" s="180">
        <f t="shared" si="22"/>
        <v>699179870</v>
      </c>
      <c r="BE17" s="178">
        <f t="shared" si="22"/>
        <v>0</v>
      </c>
      <c r="BF17" s="180">
        <f t="shared" si="22"/>
        <v>12723801</v>
      </c>
    </row>
    <row r="18" spans="1:58" ht="13.5" thickBot="1">
      <c r="A18" s="38"/>
      <c r="B18" s="38"/>
      <c r="C18" s="38"/>
      <c r="D18" s="38"/>
      <c r="E18" s="38"/>
      <c r="F18" s="38"/>
      <c r="G18" s="39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0"/>
      <c r="Y18" s="36"/>
      <c r="Z18" s="36"/>
      <c r="AA18" s="36"/>
      <c r="AB18" s="36"/>
      <c r="AC18" s="36"/>
      <c r="AD18" s="261"/>
      <c r="AE18" s="36"/>
      <c r="AF18" s="36"/>
      <c r="AG18" s="36"/>
      <c r="AH18" s="36"/>
      <c r="AI18" s="36"/>
      <c r="AJ18" s="36"/>
      <c r="AK18" s="40"/>
      <c r="AL18" s="36"/>
      <c r="AM18" s="36"/>
      <c r="AN18" s="36"/>
      <c r="AO18" s="36"/>
      <c r="AP18" s="36"/>
      <c r="AQ18" s="261"/>
      <c r="AR18" s="36"/>
      <c r="AS18" s="36"/>
      <c r="AT18" s="36"/>
      <c r="AU18" s="36"/>
      <c r="AV18" s="36"/>
      <c r="AW18" s="36"/>
      <c r="AX18" s="40"/>
      <c r="AY18" s="36"/>
      <c r="AZ18" s="36"/>
      <c r="BA18" s="36"/>
      <c r="BB18" s="36"/>
      <c r="BC18" s="36"/>
      <c r="BD18" s="261"/>
      <c r="BE18" s="36"/>
      <c r="BF18" s="36"/>
    </row>
    <row r="19" spans="1:58" ht="13.5" thickBot="1">
      <c r="A19" s="124" t="s">
        <v>130</v>
      </c>
      <c r="B19" s="125"/>
      <c r="C19" s="125"/>
      <c r="D19" s="125"/>
      <c r="E19" s="125"/>
      <c r="F19" s="125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7"/>
      <c r="AZ19" s="127"/>
      <c r="BA19" s="127"/>
      <c r="BB19" s="127"/>
      <c r="BC19" s="127"/>
      <c r="BD19" s="127"/>
      <c r="BE19" s="127"/>
      <c r="BF19" s="129"/>
    </row>
    <row r="20" spans="1:58" ht="13.5" thickBot="1">
      <c r="A20" s="38"/>
      <c r="B20" s="38"/>
      <c r="C20" s="38"/>
      <c r="D20" s="38"/>
      <c r="E20" s="38"/>
      <c r="F20" s="38"/>
      <c r="G20" s="39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0"/>
      <c r="Y20" s="36"/>
      <c r="Z20" s="36"/>
      <c r="AA20" s="36"/>
      <c r="AB20" s="36"/>
      <c r="AC20" s="36"/>
      <c r="AD20" s="261"/>
      <c r="AE20" s="36"/>
      <c r="AF20" s="36"/>
      <c r="AG20" s="36"/>
      <c r="AH20" s="36"/>
      <c r="AI20" s="36"/>
      <c r="AJ20" s="36"/>
      <c r="AK20" s="40"/>
      <c r="AL20" s="36"/>
      <c r="AM20" s="36"/>
      <c r="AN20" s="36"/>
      <c r="AO20" s="36"/>
      <c r="AP20" s="36"/>
      <c r="AQ20" s="261"/>
      <c r="AR20" s="36"/>
      <c r="AS20" s="36"/>
      <c r="AT20" s="36"/>
      <c r="AU20" s="36"/>
      <c r="AV20" s="36"/>
      <c r="AW20" s="36"/>
      <c r="AX20" s="40"/>
      <c r="AY20" s="36"/>
      <c r="AZ20" s="36"/>
      <c r="BA20" s="36"/>
      <c r="BB20" s="36"/>
      <c r="BC20" s="36"/>
      <c r="BD20" s="261"/>
      <c r="BE20" s="36"/>
      <c r="BF20" s="36"/>
    </row>
    <row r="21" spans="1:58" ht="30.75" customHeight="1" thickBot="1">
      <c r="A21" s="175" t="s">
        <v>174</v>
      </c>
      <c r="B21" s="176" t="s">
        <v>132</v>
      </c>
      <c r="C21" s="176" t="s">
        <v>132</v>
      </c>
      <c r="D21" s="176" t="s">
        <v>132</v>
      </c>
      <c r="E21" s="176" t="s">
        <v>132</v>
      </c>
      <c r="F21" s="176" t="s">
        <v>132</v>
      </c>
      <c r="G21" s="199" t="s">
        <v>176</v>
      </c>
      <c r="H21" s="178">
        <f aca="true" t="shared" si="23" ref="H21:AI21">H22+H24+H26</f>
        <v>253314854</v>
      </c>
      <c r="I21" s="179">
        <f t="shared" si="23"/>
        <v>0</v>
      </c>
      <c r="J21" s="179">
        <f t="shared" si="23"/>
        <v>0</v>
      </c>
      <c r="K21" s="179">
        <f t="shared" si="23"/>
        <v>0</v>
      </c>
      <c r="L21" s="179">
        <f t="shared" si="23"/>
        <v>0</v>
      </c>
      <c r="M21" s="179">
        <f t="shared" si="23"/>
        <v>0</v>
      </c>
      <c r="N21" s="180">
        <f t="shared" si="23"/>
        <v>253314854</v>
      </c>
      <c r="O21" s="178">
        <f t="shared" si="23"/>
        <v>253314854</v>
      </c>
      <c r="P21" s="179">
        <f t="shared" si="23"/>
        <v>0</v>
      </c>
      <c r="Q21" s="180">
        <f t="shared" si="23"/>
        <v>253314854</v>
      </c>
      <c r="R21" s="178">
        <f t="shared" si="23"/>
        <v>253314854</v>
      </c>
      <c r="S21" s="179">
        <f t="shared" si="23"/>
        <v>0</v>
      </c>
      <c r="T21" s="179">
        <f t="shared" si="23"/>
        <v>0</v>
      </c>
      <c r="U21" s="179">
        <f t="shared" si="23"/>
        <v>0</v>
      </c>
      <c r="V21" s="179">
        <f t="shared" si="23"/>
        <v>0</v>
      </c>
      <c r="W21" s="179">
        <f t="shared" si="23"/>
        <v>0</v>
      </c>
      <c r="X21" s="181">
        <f t="shared" si="23"/>
        <v>0</v>
      </c>
      <c r="Y21" s="179">
        <f t="shared" si="23"/>
        <v>0</v>
      </c>
      <c r="Z21" s="179">
        <f t="shared" si="23"/>
        <v>0</v>
      </c>
      <c r="AA21" s="179">
        <f t="shared" si="23"/>
        <v>0</v>
      </c>
      <c r="AB21" s="179">
        <f t="shared" si="23"/>
        <v>0</v>
      </c>
      <c r="AC21" s="179">
        <f t="shared" si="23"/>
        <v>0</v>
      </c>
      <c r="AD21" s="180">
        <f t="shared" si="23"/>
        <v>253314854</v>
      </c>
      <c r="AE21" s="178">
        <f t="shared" si="23"/>
        <v>253314854</v>
      </c>
      <c r="AF21" s="179">
        <f t="shared" si="23"/>
        <v>0</v>
      </c>
      <c r="AG21" s="179">
        <f t="shared" si="23"/>
        <v>0</v>
      </c>
      <c r="AH21" s="179">
        <f t="shared" si="23"/>
        <v>0</v>
      </c>
      <c r="AI21" s="179">
        <f t="shared" si="23"/>
        <v>0</v>
      </c>
      <c r="AJ21" s="179">
        <f aca="true" t="shared" si="24" ref="AJ21:BF21">AJ22+AJ24+AJ26</f>
        <v>0</v>
      </c>
      <c r="AK21" s="181">
        <f t="shared" si="24"/>
        <v>0</v>
      </c>
      <c r="AL21" s="179">
        <f t="shared" si="24"/>
        <v>0</v>
      </c>
      <c r="AM21" s="179">
        <f t="shared" si="24"/>
        <v>0</v>
      </c>
      <c r="AN21" s="179">
        <f t="shared" si="24"/>
        <v>0</v>
      </c>
      <c r="AO21" s="179">
        <f t="shared" si="24"/>
        <v>0</v>
      </c>
      <c r="AP21" s="179">
        <f t="shared" si="24"/>
        <v>0</v>
      </c>
      <c r="AQ21" s="180">
        <f t="shared" si="24"/>
        <v>253314854</v>
      </c>
      <c r="AR21" s="178">
        <f t="shared" si="24"/>
        <v>14360194</v>
      </c>
      <c r="AS21" s="179">
        <f t="shared" si="24"/>
        <v>168093303</v>
      </c>
      <c r="AT21" s="179">
        <f t="shared" si="24"/>
        <v>57618253</v>
      </c>
      <c r="AU21" s="179">
        <f t="shared" si="24"/>
        <v>0</v>
      </c>
      <c r="AV21" s="179">
        <f t="shared" si="24"/>
        <v>0</v>
      </c>
      <c r="AW21" s="179">
        <f t="shared" si="24"/>
        <v>0</v>
      </c>
      <c r="AX21" s="181">
        <f t="shared" si="24"/>
        <v>0</v>
      </c>
      <c r="AY21" s="179">
        <f t="shared" si="24"/>
        <v>9999910</v>
      </c>
      <c r="AZ21" s="179">
        <f t="shared" si="24"/>
        <v>0</v>
      </c>
      <c r="BA21" s="179">
        <f t="shared" si="24"/>
        <v>405</v>
      </c>
      <c r="BB21" s="179">
        <f t="shared" si="24"/>
        <v>6715</v>
      </c>
      <c r="BC21" s="179">
        <f t="shared" si="24"/>
        <v>-9487727</v>
      </c>
      <c r="BD21" s="180">
        <f t="shared" si="24"/>
        <v>240591053</v>
      </c>
      <c r="BE21" s="179">
        <f t="shared" si="24"/>
        <v>0</v>
      </c>
      <c r="BF21" s="180">
        <f t="shared" si="24"/>
        <v>12723801</v>
      </c>
    </row>
    <row r="22" spans="1:58" ht="30.75" customHeight="1">
      <c r="A22" s="182" t="s">
        <v>174</v>
      </c>
      <c r="B22" s="183" t="s">
        <v>134</v>
      </c>
      <c r="C22" s="183" t="s">
        <v>177</v>
      </c>
      <c r="D22" s="183" t="s">
        <v>343</v>
      </c>
      <c r="E22" s="183" t="s">
        <v>132</v>
      </c>
      <c r="F22" s="183" t="s">
        <v>132</v>
      </c>
      <c r="G22" s="200" t="s">
        <v>178</v>
      </c>
      <c r="H22" s="186">
        <f aca="true" t="shared" si="25" ref="H22:AI22">H23</f>
        <v>14360194</v>
      </c>
      <c r="I22" s="187">
        <f t="shared" si="25"/>
        <v>0</v>
      </c>
      <c r="J22" s="187">
        <f t="shared" si="25"/>
        <v>0</v>
      </c>
      <c r="K22" s="187">
        <f t="shared" si="25"/>
        <v>0</v>
      </c>
      <c r="L22" s="187">
        <f t="shared" si="25"/>
        <v>0</v>
      </c>
      <c r="M22" s="187">
        <f t="shared" si="25"/>
        <v>0</v>
      </c>
      <c r="N22" s="188">
        <f t="shared" si="25"/>
        <v>14360194</v>
      </c>
      <c r="O22" s="186">
        <f t="shared" si="25"/>
        <v>14360194</v>
      </c>
      <c r="P22" s="187">
        <f t="shared" si="25"/>
        <v>0</v>
      </c>
      <c r="Q22" s="188">
        <f t="shared" si="25"/>
        <v>14360194</v>
      </c>
      <c r="R22" s="186">
        <f t="shared" si="25"/>
        <v>14360194</v>
      </c>
      <c r="S22" s="187">
        <f t="shared" si="25"/>
        <v>0</v>
      </c>
      <c r="T22" s="187">
        <f t="shared" si="25"/>
        <v>0</v>
      </c>
      <c r="U22" s="187">
        <f t="shared" si="25"/>
        <v>0</v>
      </c>
      <c r="V22" s="187">
        <f t="shared" si="25"/>
        <v>0</v>
      </c>
      <c r="W22" s="187">
        <f t="shared" si="25"/>
        <v>0</v>
      </c>
      <c r="X22" s="189">
        <f t="shared" si="25"/>
        <v>0</v>
      </c>
      <c r="Y22" s="187">
        <f t="shared" si="25"/>
        <v>0</v>
      </c>
      <c r="Z22" s="187">
        <f t="shared" si="25"/>
        <v>0</v>
      </c>
      <c r="AA22" s="187">
        <f t="shared" si="25"/>
        <v>0</v>
      </c>
      <c r="AB22" s="187">
        <f t="shared" si="25"/>
        <v>0</v>
      </c>
      <c r="AC22" s="187">
        <f t="shared" si="25"/>
        <v>0</v>
      </c>
      <c r="AD22" s="188">
        <f t="shared" si="25"/>
        <v>14360194</v>
      </c>
      <c r="AE22" s="186">
        <f t="shared" si="25"/>
        <v>14360194</v>
      </c>
      <c r="AF22" s="187">
        <f t="shared" si="25"/>
        <v>0</v>
      </c>
      <c r="AG22" s="187">
        <f t="shared" si="25"/>
        <v>0</v>
      </c>
      <c r="AH22" s="187">
        <f t="shared" si="25"/>
        <v>0</v>
      </c>
      <c r="AI22" s="187">
        <f t="shared" si="25"/>
        <v>0</v>
      </c>
      <c r="AJ22" s="187">
        <f aca="true" t="shared" si="26" ref="AJ22:BF22">AJ23</f>
        <v>0</v>
      </c>
      <c r="AK22" s="189">
        <f t="shared" si="26"/>
        <v>0</v>
      </c>
      <c r="AL22" s="187">
        <f t="shared" si="26"/>
        <v>0</v>
      </c>
      <c r="AM22" s="187">
        <f t="shared" si="26"/>
        <v>0</v>
      </c>
      <c r="AN22" s="187">
        <f t="shared" si="26"/>
        <v>0</v>
      </c>
      <c r="AO22" s="187">
        <f t="shared" si="26"/>
        <v>0</v>
      </c>
      <c r="AP22" s="187">
        <f t="shared" si="26"/>
        <v>0</v>
      </c>
      <c r="AQ22" s="188">
        <f t="shared" si="26"/>
        <v>14360194</v>
      </c>
      <c r="AR22" s="186">
        <f t="shared" si="26"/>
        <v>14360194</v>
      </c>
      <c r="AS22" s="187">
        <f t="shared" si="26"/>
        <v>0</v>
      </c>
      <c r="AT22" s="187">
        <f t="shared" si="26"/>
        <v>0</v>
      </c>
      <c r="AU22" s="187">
        <f t="shared" si="26"/>
        <v>0</v>
      </c>
      <c r="AV22" s="187">
        <f t="shared" si="26"/>
        <v>0</v>
      </c>
      <c r="AW22" s="187">
        <f t="shared" si="26"/>
        <v>0</v>
      </c>
      <c r="AX22" s="189">
        <f t="shared" si="26"/>
        <v>0</v>
      </c>
      <c r="AY22" s="187">
        <f t="shared" si="26"/>
        <v>0</v>
      </c>
      <c r="AZ22" s="187">
        <f t="shared" si="26"/>
        <v>0</v>
      </c>
      <c r="BA22" s="187">
        <f t="shared" si="26"/>
        <v>0</v>
      </c>
      <c r="BB22" s="187">
        <f t="shared" si="26"/>
        <v>0</v>
      </c>
      <c r="BC22" s="187">
        <f t="shared" si="26"/>
        <v>0</v>
      </c>
      <c r="BD22" s="188">
        <f t="shared" si="26"/>
        <v>14360194</v>
      </c>
      <c r="BE22" s="281">
        <f t="shared" si="26"/>
        <v>0</v>
      </c>
      <c r="BF22" s="274">
        <f t="shared" si="26"/>
        <v>0</v>
      </c>
    </row>
    <row r="23" spans="1:58" ht="30.75" customHeight="1">
      <c r="A23" s="136" t="s">
        <v>174</v>
      </c>
      <c r="B23" s="130" t="s">
        <v>134</v>
      </c>
      <c r="C23" s="130" t="s">
        <v>177</v>
      </c>
      <c r="D23" s="130" t="s">
        <v>179</v>
      </c>
      <c r="E23" s="130" t="s">
        <v>142</v>
      </c>
      <c r="F23" s="130" t="s">
        <v>138</v>
      </c>
      <c r="G23" s="287" t="s">
        <v>180</v>
      </c>
      <c r="H23" s="173">
        <f>Q23-SUM(I23:M23)</f>
        <v>14360194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57">
        <f>SUM(H23:M23)</f>
        <v>14360194</v>
      </c>
      <c r="O23" s="173">
        <v>14360194</v>
      </c>
      <c r="P23" s="132">
        <v>0</v>
      </c>
      <c r="Q23" s="257">
        <f>SUM(O23:P23)</f>
        <v>14360194</v>
      </c>
      <c r="R23" s="173">
        <v>14360194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3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257">
        <f>SUM(R23:AC23)</f>
        <v>14360194</v>
      </c>
      <c r="AE23" s="173">
        <f aca="true" t="shared" si="27" ref="AE23:AP23">R23</f>
        <v>14360194</v>
      </c>
      <c r="AF23" s="132">
        <f t="shared" si="27"/>
        <v>0</v>
      </c>
      <c r="AG23" s="132">
        <f t="shared" si="27"/>
        <v>0</v>
      </c>
      <c r="AH23" s="132">
        <f t="shared" si="27"/>
        <v>0</v>
      </c>
      <c r="AI23" s="132">
        <f t="shared" si="27"/>
        <v>0</v>
      </c>
      <c r="AJ23" s="132">
        <f t="shared" si="27"/>
        <v>0</v>
      </c>
      <c r="AK23" s="133">
        <f t="shared" si="27"/>
        <v>0</v>
      </c>
      <c r="AL23" s="132">
        <f t="shared" si="27"/>
        <v>0</v>
      </c>
      <c r="AM23" s="132">
        <f t="shared" si="27"/>
        <v>0</v>
      </c>
      <c r="AN23" s="132">
        <f t="shared" si="27"/>
        <v>0</v>
      </c>
      <c r="AO23" s="132">
        <f t="shared" si="27"/>
        <v>0</v>
      </c>
      <c r="AP23" s="132">
        <f t="shared" si="27"/>
        <v>0</v>
      </c>
      <c r="AQ23" s="257">
        <f>SUM(AE23:AP23)</f>
        <v>14360194</v>
      </c>
      <c r="AR23" s="173">
        <v>14360194</v>
      </c>
      <c r="AS23" s="132">
        <v>0</v>
      </c>
      <c r="AT23" s="132">
        <v>0</v>
      </c>
      <c r="AU23" s="132">
        <v>0</v>
      </c>
      <c r="AV23" s="132">
        <v>0</v>
      </c>
      <c r="AW23" s="132">
        <v>0</v>
      </c>
      <c r="AX23" s="133">
        <v>0</v>
      </c>
      <c r="AY23" s="132">
        <v>0</v>
      </c>
      <c r="AZ23" s="132">
        <v>0</v>
      </c>
      <c r="BA23" s="132">
        <v>0</v>
      </c>
      <c r="BB23" s="132">
        <v>0</v>
      </c>
      <c r="BC23" s="132">
        <v>0</v>
      </c>
      <c r="BD23" s="257">
        <f>SUM(AR23:BC23)</f>
        <v>14360194</v>
      </c>
      <c r="BE23" s="283">
        <f>Q23-AD23</f>
        <v>0</v>
      </c>
      <c r="BF23" s="277">
        <f>AQ23-BD23</f>
        <v>0</v>
      </c>
    </row>
    <row r="24" spans="1:58" ht="30.75" customHeight="1">
      <c r="A24" s="182" t="s">
        <v>174</v>
      </c>
      <c r="B24" s="183" t="s">
        <v>134</v>
      </c>
      <c r="C24" s="183" t="s">
        <v>181</v>
      </c>
      <c r="D24" s="183" t="s">
        <v>132</v>
      </c>
      <c r="E24" s="183" t="s">
        <v>132</v>
      </c>
      <c r="F24" s="183" t="s">
        <v>132</v>
      </c>
      <c r="G24" s="200" t="s">
        <v>182</v>
      </c>
      <c r="H24" s="186">
        <f aca="true" t="shared" si="28" ref="H24:AI24">H25</f>
        <v>45000000</v>
      </c>
      <c r="I24" s="187">
        <f t="shared" si="28"/>
        <v>0</v>
      </c>
      <c r="J24" s="187">
        <f t="shared" si="28"/>
        <v>0</v>
      </c>
      <c r="K24" s="187">
        <f t="shared" si="28"/>
        <v>0</v>
      </c>
      <c r="L24" s="187">
        <f t="shared" si="28"/>
        <v>0</v>
      </c>
      <c r="M24" s="187">
        <f t="shared" si="28"/>
        <v>0</v>
      </c>
      <c r="N24" s="188">
        <f t="shared" si="28"/>
        <v>45000000</v>
      </c>
      <c r="O24" s="186">
        <f t="shared" si="28"/>
        <v>45000000</v>
      </c>
      <c r="P24" s="187">
        <f t="shared" si="28"/>
        <v>0</v>
      </c>
      <c r="Q24" s="188">
        <f t="shared" si="28"/>
        <v>45000000</v>
      </c>
      <c r="R24" s="186">
        <f t="shared" si="28"/>
        <v>45000000</v>
      </c>
      <c r="S24" s="187">
        <f t="shared" si="28"/>
        <v>0</v>
      </c>
      <c r="T24" s="187">
        <f t="shared" si="28"/>
        <v>0</v>
      </c>
      <c r="U24" s="187">
        <f t="shared" si="28"/>
        <v>0</v>
      </c>
      <c r="V24" s="187">
        <f t="shared" si="28"/>
        <v>0</v>
      </c>
      <c r="W24" s="187">
        <f t="shared" si="28"/>
        <v>0</v>
      </c>
      <c r="X24" s="189">
        <f t="shared" si="28"/>
        <v>0</v>
      </c>
      <c r="Y24" s="187">
        <f t="shared" si="28"/>
        <v>0</v>
      </c>
      <c r="Z24" s="187">
        <f t="shared" si="28"/>
        <v>0</v>
      </c>
      <c r="AA24" s="187">
        <f t="shared" si="28"/>
        <v>0</v>
      </c>
      <c r="AB24" s="187">
        <f t="shared" si="28"/>
        <v>0</v>
      </c>
      <c r="AC24" s="187">
        <f t="shared" si="28"/>
        <v>0</v>
      </c>
      <c r="AD24" s="188">
        <f t="shared" si="28"/>
        <v>45000000</v>
      </c>
      <c r="AE24" s="186">
        <f t="shared" si="28"/>
        <v>45000000</v>
      </c>
      <c r="AF24" s="187">
        <f t="shared" si="28"/>
        <v>0</v>
      </c>
      <c r="AG24" s="187">
        <f t="shared" si="28"/>
        <v>0</v>
      </c>
      <c r="AH24" s="187">
        <f t="shared" si="28"/>
        <v>0</v>
      </c>
      <c r="AI24" s="187">
        <f t="shared" si="28"/>
        <v>0</v>
      </c>
      <c r="AJ24" s="187">
        <f aca="true" t="shared" si="29" ref="AJ24:BF24">AJ25</f>
        <v>0</v>
      </c>
      <c r="AK24" s="189">
        <f t="shared" si="29"/>
        <v>0</v>
      </c>
      <c r="AL24" s="187">
        <f t="shared" si="29"/>
        <v>0</v>
      </c>
      <c r="AM24" s="187">
        <f t="shared" si="29"/>
        <v>0</v>
      </c>
      <c r="AN24" s="187">
        <f t="shared" si="29"/>
        <v>0</v>
      </c>
      <c r="AO24" s="187">
        <f t="shared" si="29"/>
        <v>0</v>
      </c>
      <c r="AP24" s="187">
        <f t="shared" si="29"/>
        <v>0</v>
      </c>
      <c r="AQ24" s="188">
        <f t="shared" si="29"/>
        <v>45000000</v>
      </c>
      <c r="AR24" s="186">
        <f t="shared" si="29"/>
        <v>0</v>
      </c>
      <c r="AS24" s="187">
        <f t="shared" si="29"/>
        <v>34999685</v>
      </c>
      <c r="AT24" s="187">
        <f t="shared" si="29"/>
        <v>0</v>
      </c>
      <c r="AU24" s="187">
        <f t="shared" si="29"/>
        <v>0</v>
      </c>
      <c r="AV24" s="187">
        <f t="shared" si="29"/>
        <v>0</v>
      </c>
      <c r="AW24" s="187">
        <f t="shared" si="29"/>
        <v>0</v>
      </c>
      <c r="AX24" s="189">
        <f t="shared" si="29"/>
        <v>0</v>
      </c>
      <c r="AY24" s="187">
        <f t="shared" si="29"/>
        <v>9999910</v>
      </c>
      <c r="AZ24" s="187">
        <f t="shared" si="29"/>
        <v>0</v>
      </c>
      <c r="BA24" s="187">
        <f t="shared" si="29"/>
        <v>405</v>
      </c>
      <c r="BB24" s="187">
        <f t="shared" si="29"/>
        <v>0</v>
      </c>
      <c r="BC24" s="187">
        <f t="shared" si="29"/>
        <v>0</v>
      </c>
      <c r="BD24" s="188">
        <f t="shared" si="29"/>
        <v>45000000</v>
      </c>
      <c r="BE24" s="281">
        <f t="shared" si="29"/>
        <v>0</v>
      </c>
      <c r="BF24" s="274">
        <f t="shared" si="29"/>
        <v>0</v>
      </c>
    </row>
    <row r="25" spans="1:58" ht="30.75" customHeight="1">
      <c r="A25" s="136" t="s">
        <v>174</v>
      </c>
      <c r="B25" s="130" t="s">
        <v>134</v>
      </c>
      <c r="C25" s="130" t="s">
        <v>181</v>
      </c>
      <c r="D25" s="130" t="s">
        <v>183</v>
      </c>
      <c r="E25" s="130" t="s">
        <v>135</v>
      </c>
      <c r="F25" s="130" t="s">
        <v>138</v>
      </c>
      <c r="G25" s="287" t="s">
        <v>184</v>
      </c>
      <c r="H25" s="173">
        <f>Q25-SUM(I25:M25)</f>
        <v>45000000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257">
        <f>SUM(H25:M25)</f>
        <v>45000000</v>
      </c>
      <c r="O25" s="173">
        <v>45000000</v>
      </c>
      <c r="P25" s="132">
        <v>0</v>
      </c>
      <c r="Q25" s="257">
        <f>SUM(O25:P25)</f>
        <v>45000000</v>
      </c>
      <c r="R25" s="173">
        <v>45000000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3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257">
        <f>SUM(R25:AC25)</f>
        <v>45000000</v>
      </c>
      <c r="AE25" s="173">
        <f aca="true" t="shared" si="30" ref="AE25:AP25">R25</f>
        <v>45000000</v>
      </c>
      <c r="AF25" s="132">
        <f t="shared" si="30"/>
        <v>0</v>
      </c>
      <c r="AG25" s="132">
        <f t="shared" si="30"/>
        <v>0</v>
      </c>
      <c r="AH25" s="132">
        <f t="shared" si="30"/>
        <v>0</v>
      </c>
      <c r="AI25" s="132">
        <f t="shared" si="30"/>
        <v>0</v>
      </c>
      <c r="AJ25" s="132">
        <f t="shared" si="30"/>
        <v>0</v>
      </c>
      <c r="AK25" s="133">
        <f t="shared" si="30"/>
        <v>0</v>
      </c>
      <c r="AL25" s="132">
        <f t="shared" si="30"/>
        <v>0</v>
      </c>
      <c r="AM25" s="132">
        <f t="shared" si="30"/>
        <v>0</v>
      </c>
      <c r="AN25" s="132">
        <f t="shared" si="30"/>
        <v>0</v>
      </c>
      <c r="AO25" s="132">
        <f t="shared" si="30"/>
        <v>0</v>
      </c>
      <c r="AP25" s="132">
        <f t="shared" si="30"/>
        <v>0</v>
      </c>
      <c r="AQ25" s="257">
        <f>SUM(AE25:AP25)</f>
        <v>45000000</v>
      </c>
      <c r="AR25" s="173">
        <v>0</v>
      </c>
      <c r="AS25" s="132">
        <v>34999685</v>
      </c>
      <c r="AT25" s="132">
        <v>0</v>
      </c>
      <c r="AU25" s="132">
        <v>0</v>
      </c>
      <c r="AV25" s="132">
        <v>0</v>
      </c>
      <c r="AW25" s="132">
        <v>0</v>
      </c>
      <c r="AX25" s="133">
        <v>0</v>
      </c>
      <c r="AY25" s="132">
        <v>9999910</v>
      </c>
      <c r="AZ25" s="132">
        <v>0</v>
      </c>
      <c r="BA25" s="132">
        <v>405</v>
      </c>
      <c r="BB25" s="132">
        <v>0</v>
      </c>
      <c r="BC25" s="132">
        <v>0</v>
      </c>
      <c r="BD25" s="257">
        <f>SUM(AR25:BC25)</f>
        <v>45000000</v>
      </c>
      <c r="BE25" s="283">
        <f>Q25-AD25</f>
        <v>0</v>
      </c>
      <c r="BF25" s="277">
        <f>AQ25-BD25</f>
        <v>0</v>
      </c>
    </row>
    <row r="26" spans="1:58" ht="30.75" customHeight="1">
      <c r="A26" s="441" t="s">
        <v>174</v>
      </c>
      <c r="B26" s="442" t="s">
        <v>134</v>
      </c>
      <c r="C26" s="442" t="s">
        <v>185</v>
      </c>
      <c r="D26" s="442" t="s">
        <v>132</v>
      </c>
      <c r="E26" s="442" t="s">
        <v>132</v>
      </c>
      <c r="F26" s="442" t="s">
        <v>132</v>
      </c>
      <c r="G26" s="443" t="s">
        <v>186</v>
      </c>
      <c r="H26" s="444">
        <f aca="true" t="shared" si="31" ref="H26:AI26">SUM(H27:H27)</f>
        <v>193954660</v>
      </c>
      <c r="I26" s="445">
        <f t="shared" si="31"/>
        <v>0</v>
      </c>
      <c r="J26" s="445">
        <f t="shared" si="31"/>
        <v>0</v>
      </c>
      <c r="K26" s="445">
        <f t="shared" si="31"/>
        <v>0</v>
      </c>
      <c r="L26" s="445">
        <f t="shared" si="31"/>
        <v>0</v>
      </c>
      <c r="M26" s="445">
        <f t="shared" si="31"/>
        <v>0</v>
      </c>
      <c r="N26" s="446">
        <f t="shared" si="31"/>
        <v>193954660</v>
      </c>
      <c r="O26" s="444">
        <f t="shared" si="31"/>
        <v>193954660</v>
      </c>
      <c r="P26" s="445">
        <f t="shared" si="31"/>
        <v>0</v>
      </c>
      <c r="Q26" s="446">
        <f t="shared" si="31"/>
        <v>193954660</v>
      </c>
      <c r="R26" s="444">
        <f t="shared" si="31"/>
        <v>193954660</v>
      </c>
      <c r="S26" s="445">
        <f t="shared" si="31"/>
        <v>0</v>
      </c>
      <c r="T26" s="445">
        <f t="shared" si="31"/>
        <v>0</v>
      </c>
      <c r="U26" s="445">
        <f t="shared" si="31"/>
        <v>0</v>
      </c>
      <c r="V26" s="445">
        <f t="shared" si="31"/>
        <v>0</v>
      </c>
      <c r="W26" s="445">
        <f t="shared" si="31"/>
        <v>0</v>
      </c>
      <c r="X26" s="447">
        <f t="shared" si="31"/>
        <v>0</v>
      </c>
      <c r="Y26" s="445">
        <f t="shared" si="31"/>
        <v>0</v>
      </c>
      <c r="Z26" s="445">
        <f t="shared" si="31"/>
        <v>0</v>
      </c>
      <c r="AA26" s="445">
        <f t="shared" si="31"/>
        <v>0</v>
      </c>
      <c r="AB26" s="445">
        <f t="shared" si="31"/>
        <v>0</v>
      </c>
      <c r="AC26" s="445">
        <f t="shared" si="31"/>
        <v>0</v>
      </c>
      <c r="AD26" s="446">
        <f t="shared" si="31"/>
        <v>193954660</v>
      </c>
      <c r="AE26" s="444">
        <f t="shared" si="31"/>
        <v>193954660</v>
      </c>
      <c r="AF26" s="445">
        <f t="shared" si="31"/>
        <v>0</v>
      </c>
      <c r="AG26" s="445">
        <f t="shared" si="31"/>
        <v>0</v>
      </c>
      <c r="AH26" s="445">
        <f t="shared" si="31"/>
        <v>0</v>
      </c>
      <c r="AI26" s="445">
        <f t="shared" si="31"/>
        <v>0</v>
      </c>
      <c r="AJ26" s="445">
        <f aca="true" t="shared" si="32" ref="AJ26:BF26">SUM(AJ27:AJ27)</f>
        <v>0</v>
      </c>
      <c r="AK26" s="447">
        <f t="shared" si="32"/>
        <v>0</v>
      </c>
      <c r="AL26" s="445">
        <f t="shared" si="32"/>
        <v>0</v>
      </c>
      <c r="AM26" s="445">
        <f t="shared" si="32"/>
        <v>0</v>
      </c>
      <c r="AN26" s="445">
        <f t="shared" si="32"/>
        <v>0</v>
      </c>
      <c r="AO26" s="445">
        <f t="shared" si="32"/>
        <v>0</v>
      </c>
      <c r="AP26" s="445">
        <f t="shared" si="32"/>
        <v>0</v>
      </c>
      <c r="AQ26" s="446">
        <f t="shared" si="32"/>
        <v>193954660</v>
      </c>
      <c r="AR26" s="444">
        <f t="shared" si="32"/>
        <v>0</v>
      </c>
      <c r="AS26" s="445">
        <f t="shared" si="32"/>
        <v>133093618</v>
      </c>
      <c r="AT26" s="445">
        <f t="shared" si="32"/>
        <v>57618253</v>
      </c>
      <c r="AU26" s="445">
        <f t="shared" si="32"/>
        <v>0</v>
      </c>
      <c r="AV26" s="445">
        <f t="shared" si="32"/>
        <v>0</v>
      </c>
      <c r="AW26" s="445">
        <f t="shared" si="32"/>
        <v>0</v>
      </c>
      <c r="AX26" s="447">
        <f t="shared" si="32"/>
        <v>0</v>
      </c>
      <c r="AY26" s="445">
        <f t="shared" si="32"/>
        <v>0</v>
      </c>
      <c r="AZ26" s="445">
        <f t="shared" si="32"/>
        <v>0</v>
      </c>
      <c r="BA26" s="445">
        <f t="shared" si="32"/>
        <v>0</v>
      </c>
      <c r="BB26" s="445">
        <f t="shared" si="32"/>
        <v>6715</v>
      </c>
      <c r="BC26" s="445">
        <f t="shared" si="32"/>
        <v>-9487727</v>
      </c>
      <c r="BD26" s="446">
        <f t="shared" si="32"/>
        <v>181230859</v>
      </c>
      <c r="BE26" s="448">
        <f t="shared" si="32"/>
        <v>0</v>
      </c>
      <c r="BF26" s="449">
        <f t="shared" si="32"/>
        <v>12723801</v>
      </c>
    </row>
    <row r="27" spans="1:58" ht="30.75" customHeight="1" thickBot="1">
      <c r="A27" s="137" t="s">
        <v>174</v>
      </c>
      <c r="B27" s="138" t="s">
        <v>134</v>
      </c>
      <c r="C27" s="138" t="s">
        <v>185</v>
      </c>
      <c r="D27" s="138" t="s">
        <v>189</v>
      </c>
      <c r="E27" s="138" t="s">
        <v>190</v>
      </c>
      <c r="F27" s="138" t="s">
        <v>192</v>
      </c>
      <c r="G27" s="288" t="s">
        <v>191</v>
      </c>
      <c r="H27" s="174">
        <f>Q27-SUM(I27:M27)</f>
        <v>193954660</v>
      </c>
      <c r="I27" s="141">
        <v>0</v>
      </c>
      <c r="J27" s="141">
        <v>0</v>
      </c>
      <c r="K27" s="141">
        <v>0</v>
      </c>
      <c r="L27" s="141">
        <v>0</v>
      </c>
      <c r="M27" s="141"/>
      <c r="N27" s="258">
        <f>SUM(H27:M27)</f>
        <v>193954660</v>
      </c>
      <c r="O27" s="174">
        <v>193954660</v>
      </c>
      <c r="P27" s="141">
        <v>0</v>
      </c>
      <c r="Q27" s="258">
        <f>SUM(O27:P27)</f>
        <v>193954660</v>
      </c>
      <c r="R27" s="174">
        <v>193954660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2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258">
        <f>SUM(R27:AC27)</f>
        <v>193954660</v>
      </c>
      <c r="AE27" s="174">
        <f aca="true" t="shared" si="33" ref="AE27:AP27">R27</f>
        <v>193954660</v>
      </c>
      <c r="AF27" s="141">
        <f t="shared" si="33"/>
        <v>0</v>
      </c>
      <c r="AG27" s="141">
        <f t="shared" si="33"/>
        <v>0</v>
      </c>
      <c r="AH27" s="141">
        <f t="shared" si="33"/>
        <v>0</v>
      </c>
      <c r="AI27" s="141">
        <f t="shared" si="33"/>
        <v>0</v>
      </c>
      <c r="AJ27" s="141">
        <f t="shared" si="33"/>
        <v>0</v>
      </c>
      <c r="AK27" s="142">
        <f t="shared" si="33"/>
        <v>0</v>
      </c>
      <c r="AL27" s="141">
        <f t="shared" si="33"/>
        <v>0</v>
      </c>
      <c r="AM27" s="141">
        <f t="shared" si="33"/>
        <v>0</v>
      </c>
      <c r="AN27" s="141">
        <f t="shared" si="33"/>
        <v>0</v>
      </c>
      <c r="AO27" s="141">
        <f t="shared" si="33"/>
        <v>0</v>
      </c>
      <c r="AP27" s="141">
        <f t="shared" si="33"/>
        <v>0</v>
      </c>
      <c r="AQ27" s="258">
        <f>SUM(AE27:AP27)</f>
        <v>193954660</v>
      </c>
      <c r="AR27" s="174">
        <v>0</v>
      </c>
      <c r="AS27" s="141">
        <f>124052938+9040680</f>
        <v>133093618</v>
      </c>
      <c r="AT27" s="141">
        <f>57618253</f>
        <v>57618253</v>
      </c>
      <c r="AU27" s="141">
        <v>0</v>
      </c>
      <c r="AV27" s="141">
        <v>0</v>
      </c>
      <c r="AW27" s="141">
        <v>0</v>
      </c>
      <c r="AX27" s="142">
        <v>0</v>
      </c>
      <c r="AY27" s="141">
        <v>0</v>
      </c>
      <c r="AZ27" s="141">
        <v>0</v>
      </c>
      <c r="BA27" s="141">
        <v>0</v>
      </c>
      <c r="BB27" s="141">
        <f>6715</f>
        <v>6715</v>
      </c>
      <c r="BC27" s="141">
        <v>-9487727</v>
      </c>
      <c r="BD27" s="258">
        <f>SUM(AR27:BC27)</f>
        <v>181230859</v>
      </c>
      <c r="BE27" s="285">
        <f>Q27-AD27</f>
        <v>0</v>
      </c>
      <c r="BF27" s="280">
        <f>AQ27-BD27</f>
        <v>12723801</v>
      </c>
    </row>
    <row r="28" ht="13.5" thickBot="1"/>
    <row r="29" spans="1:58" ht="13.5" thickBot="1">
      <c r="A29" s="124" t="s">
        <v>194</v>
      </c>
      <c r="B29" s="125"/>
      <c r="C29" s="125"/>
      <c r="D29" s="125"/>
      <c r="E29" s="125"/>
      <c r="F29" s="125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27"/>
      <c r="AZ29" s="127"/>
      <c r="BA29" s="127"/>
      <c r="BB29" s="127"/>
      <c r="BC29" s="127"/>
      <c r="BD29" s="127"/>
      <c r="BE29" s="127"/>
      <c r="BF29" s="129"/>
    </row>
    <row r="30" ht="13.5" thickBot="1"/>
    <row r="31" spans="1:58" ht="30.75" customHeight="1" thickBot="1">
      <c r="A31" s="175" t="s">
        <v>174</v>
      </c>
      <c r="B31" s="176" t="s">
        <v>132</v>
      </c>
      <c r="C31" s="176" t="s">
        <v>132</v>
      </c>
      <c r="D31" s="176" t="s">
        <v>132</v>
      </c>
      <c r="E31" s="176" t="s">
        <v>132</v>
      </c>
      <c r="F31" s="176" t="s">
        <v>132</v>
      </c>
      <c r="G31" s="199" t="s">
        <v>195</v>
      </c>
      <c r="H31" s="178">
        <f aca="true" t="shared" si="34" ref="H31:AI31">H32</f>
        <v>458588817</v>
      </c>
      <c r="I31" s="179">
        <f t="shared" si="34"/>
        <v>0</v>
      </c>
      <c r="J31" s="179">
        <f t="shared" si="34"/>
        <v>0</v>
      </c>
      <c r="K31" s="179">
        <f t="shared" si="34"/>
        <v>0</v>
      </c>
      <c r="L31" s="179">
        <f t="shared" si="34"/>
        <v>0</v>
      </c>
      <c r="M31" s="179">
        <f t="shared" si="34"/>
        <v>0</v>
      </c>
      <c r="N31" s="180">
        <f t="shared" si="34"/>
        <v>458588817</v>
      </c>
      <c r="O31" s="178">
        <f t="shared" si="34"/>
        <v>458588817</v>
      </c>
      <c r="P31" s="179">
        <f t="shared" si="34"/>
        <v>0</v>
      </c>
      <c r="Q31" s="180">
        <f t="shared" si="34"/>
        <v>458588817</v>
      </c>
      <c r="R31" s="179">
        <f t="shared" si="34"/>
        <v>458588817</v>
      </c>
      <c r="S31" s="179">
        <f t="shared" si="34"/>
        <v>0</v>
      </c>
      <c r="T31" s="179">
        <f t="shared" si="34"/>
        <v>0</v>
      </c>
      <c r="U31" s="179">
        <f t="shared" si="34"/>
        <v>0</v>
      </c>
      <c r="V31" s="179">
        <f t="shared" si="34"/>
        <v>0</v>
      </c>
      <c r="W31" s="179">
        <f t="shared" si="34"/>
        <v>0</v>
      </c>
      <c r="X31" s="181">
        <f t="shared" si="34"/>
        <v>0</v>
      </c>
      <c r="Y31" s="179">
        <f t="shared" si="34"/>
        <v>0</v>
      </c>
      <c r="Z31" s="179">
        <f t="shared" si="34"/>
        <v>0</v>
      </c>
      <c r="AA31" s="179">
        <f t="shared" si="34"/>
        <v>0</v>
      </c>
      <c r="AB31" s="179">
        <f t="shared" si="34"/>
        <v>0</v>
      </c>
      <c r="AC31" s="179">
        <f t="shared" si="34"/>
        <v>0</v>
      </c>
      <c r="AD31" s="179">
        <f t="shared" si="34"/>
        <v>458588817</v>
      </c>
      <c r="AE31" s="179">
        <f t="shared" si="34"/>
        <v>458588817</v>
      </c>
      <c r="AF31" s="179">
        <f t="shared" si="34"/>
        <v>0</v>
      </c>
      <c r="AG31" s="179">
        <f t="shared" si="34"/>
        <v>0</v>
      </c>
      <c r="AH31" s="179">
        <f t="shared" si="34"/>
        <v>0</v>
      </c>
      <c r="AI31" s="179">
        <f t="shared" si="34"/>
        <v>0</v>
      </c>
      <c r="AJ31" s="179">
        <f aca="true" t="shared" si="35" ref="AJ31:BF31">AJ32</f>
        <v>0</v>
      </c>
      <c r="AK31" s="181">
        <f t="shared" si="35"/>
        <v>0</v>
      </c>
      <c r="AL31" s="179">
        <f t="shared" si="35"/>
        <v>0</v>
      </c>
      <c r="AM31" s="179">
        <f t="shared" si="35"/>
        <v>0</v>
      </c>
      <c r="AN31" s="179">
        <f t="shared" si="35"/>
        <v>0</v>
      </c>
      <c r="AO31" s="179">
        <f t="shared" si="35"/>
        <v>0</v>
      </c>
      <c r="AP31" s="179">
        <f t="shared" si="35"/>
        <v>0</v>
      </c>
      <c r="AQ31" s="179">
        <f t="shared" si="35"/>
        <v>458588817</v>
      </c>
      <c r="AR31" s="178">
        <f t="shared" si="35"/>
        <v>0</v>
      </c>
      <c r="AS31" s="179">
        <f t="shared" si="35"/>
        <v>30030000</v>
      </c>
      <c r="AT31" s="179">
        <f t="shared" si="35"/>
        <v>322287000</v>
      </c>
      <c r="AU31" s="179">
        <f t="shared" si="35"/>
        <v>0</v>
      </c>
      <c r="AV31" s="179">
        <f t="shared" si="35"/>
        <v>0</v>
      </c>
      <c r="AW31" s="179">
        <f t="shared" si="35"/>
        <v>45765000</v>
      </c>
      <c r="AX31" s="181">
        <f t="shared" si="35"/>
        <v>58461817</v>
      </c>
      <c r="AY31" s="179">
        <f t="shared" si="35"/>
        <v>0</v>
      </c>
      <c r="AZ31" s="179">
        <f t="shared" si="35"/>
        <v>0</v>
      </c>
      <c r="BA31" s="179">
        <f t="shared" si="35"/>
        <v>0</v>
      </c>
      <c r="BB31" s="179">
        <f t="shared" si="35"/>
        <v>2045000</v>
      </c>
      <c r="BC31" s="179">
        <f t="shared" si="35"/>
        <v>0</v>
      </c>
      <c r="BD31" s="180">
        <f t="shared" si="35"/>
        <v>458588817</v>
      </c>
      <c r="BE31" s="179">
        <f t="shared" si="35"/>
        <v>0</v>
      </c>
      <c r="BF31" s="180">
        <f t="shared" si="35"/>
        <v>0</v>
      </c>
    </row>
    <row r="32" spans="1:58" ht="30.75" customHeight="1">
      <c r="A32" s="182" t="s">
        <v>174</v>
      </c>
      <c r="B32" s="183" t="s">
        <v>134</v>
      </c>
      <c r="C32" s="183" t="s">
        <v>185</v>
      </c>
      <c r="D32" s="183" t="s">
        <v>132</v>
      </c>
      <c r="E32" s="183" t="s">
        <v>132</v>
      </c>
      <c r="F32" s="183" t="s">
        <v>132</v>
      </c>
      <c r="G32" s="200" t="s">
        <v>186</v>
      </c>
      <c r="H32" s="186">
        <f aca="true" t="shared" si="36" ref="H32:AI32">SUM(H33:H35)</f>
        <v>458588817</v>
      </c>
      <c r="I32" s="187">
        <f t="shared" si="36"/>
        <v>0</v>
      </c>
      <c r="J32" s="187">
        <f t="shared" si="36"/>
        <v>0</v>
      </c>
      <c r="K32" s="187">
        <f t="shared" si="36"/>
        <v>0</v>
      </c>
      <c r="L32" s="187">
        <f t="shared" si="36"/>
        <v>0</v>
      </c>
      <c r="M32" s="187">
        <f t="shared" si="36"/>
        <v>0</v>
      </c>
      <c r="N32" s="188">
        <f t="shared" si="36"/>
        <v>458588817</v>
      </c>
      <c r="O32" s="186">
        <f t="shared" si="36"/>
        <v>458588817</v>
      </c>
      <c r="P32" s="187">
        <f t="shared" si="36"/>
        <v>0</v>
      </c>
      <c r="Q32" s="188">
        <f t="shared" si="36"/>
        <v>458588817</v>
      </c>
      <c r="R32" s="187">
        <f t="shared" si="36"/>
        <v>458588817</v>
      </c>
      <c r="S32" s="187">
        <f t="shared" si="36"/>
        <v>0</v>
      </c>
      <c r="T32" s="187">
        <f t="shared" si="36"/>
        <v>0</v>
      </c>
      <c r="U32" s="187">
        <f t="shared" si="36"/>
        <v>0</v>
      </c>
      <c r="V32" s="187">
        <f t="shared" si="36"/>
        <v>0</v>
      </c>
      <c r="W32" s="187">
        <f t="shared" si="36"/>
        <v>0</v>
      </c>
      <c r="X32" s="189">
        <f t="shared" si="36"/>
        <v>0</v>
      </c>
      <c r="Y32" s="187">
        <f t="shared" si="36"/>
        <v>0</v>
      </c>
      <c r="Z32" s="187">
        <f t="shared" si="36"/>
        <v>0</v>
      </c>
      <c r="AA32" s="187">
        <f t="shared" si="36"/>
        <v>0</v>
      </c>
      <c r="AB32" s="187">
        <f t="shared" si="36"/>
        <v>0</v>
      </c>
      <c r="AC32" s="187">
        <f t="shared" si="36"/>
        <v>0</v>
      </c>
      <c r="AD32" s="187">
        <f t="shared" si="36"/>
        <v>458588817</v>
      </c>
      <c r="AE32" s="187">
        <f t="shared" si="36"/>
        <v>458588817</v>
      </c>
      <c r="AF32" s="187">
        <f t="shared" si="36"/>
        <v>0</v>
      </c>
      <c r="AG32" s="187">
        <f t="shared" si="36"/>
        <v>0</v>
      </c>
      <c r="AH32" s="187">
        <f t="shared" si="36"/>
        <v>0</v>
      </c>
      <c r="AI32" s="187">
        <f t="shared" si="36"/>
        <v>0</v>
      </c>
      <c r="AJ32" s="187">
        <f aca="true" t="shared" si="37" ref="AJ32:BF32">SUM(AJ33:AJ35)</f>
        <v>0</v>
      </c>
      <c r="AK32" s="189">
        <f t="shared" si="37"/>
        <v>0</v>
      </c>
      <c r="AL32" s="187">
        <f t="shared" si="37"/>
        <v>0</v>
      </c>
      <c r="AM32" s="187">
        <f t="shared" si="37"/>
        <v>0</v>
      </c>
      <c r="AN32" s="187">
        <f t="shared" si="37"/>
        <v>0</v>
      </c>
      <c r="AO32" s="187">
        <f t="shared" si="37"/>
        <v>0</v>
      </c>
      <c r="AP32" s="187">
        <f t="shared" si="37"/>
        <v>0</v>
      </c>
      <c r="AQ32" s="187">
        <f t="shared" si="37"/>
        <v>458588817</v>
      </c>
      <c r="AR32" s="186">
        <f t="shared" si="37"/>
        <v>0</v>
      </c>
      <c r="AS32" s="187">
        <f t="shared" si="37"/>
        <v>30030000</v>
      </c>
      <c r="AT32" s="187">
        <f t="shared" si="37"/>
        <v>322287000</v>
      </c>
      <c r="AU32" s="187">
        <f t="shared" si="37"/>
        <v>0</v>
      </c>
      <c r="AV32" s="187">
        <f t="shared" si="37"/>
        <v>0</v>
      </c>
      <c r="AW32" s="187">
        <f t="shared" si="37"/>
        <v>45765000</v>
      </c>
      <c r="AX32" s="189">
        <f t="shared" si="37"/>
        <v>58461817</v>
      </c>
      <c r="AY32" s="187">
        <f t="shared" si="37"/>
        <v>0</v>
      </c>
      <c r="AZ32" s="187">
        <f t="shared" si="37"/>
        <v>0</v>
      </c>
      <c r="BA32" s="187">
        <f t="shared" si="37"/>
        <v>0</v>
      </c>
      <c r="BB32" s="187">
        <f t="shared" si="37"/>
        <v>2045000</v>
      </c>
      <c r="BC32" s="187">
        <f t="shared" si="37"/>
        <v>0</v>
      </c>
      <c r="BD32" s="188">
        <f t="shared" si="37"/>
        <v>458588817</v>
      </c>
      <c r="BE32" s="281">
        <f t="shared" si="37"/>
        <v>0</v>
      </c>
      <c r="BF32" s="274">
        <f t="shared" si="37"/>
        <v>0</v>
      </c>
    </row>
    <row r="33" spans="1:58" ht="30.75" customHeight="1">
      <c r="A33" s="136" t="s">
        <v>174</v>
      </c>
      <c r="B33" s="130" t="s">
        <v>134</v>
      </c>
      <c r="C33" s="130" t="s">
        <v>185</v>
      </c>
      <c r="D33" s="130" t="s">
        <v>196</v>
      </c>
      <c r="E33" s="130" t="s">
        <v>142</v>
      </c>
      <c r="F33" s="130" t="s">
        <v>197</v>
      </c>
      <c r="G33" s="287" t="s">
        <v>198</v>
      </c>
      <c r="H33" s="173">
        <f>Q33-SUM(I33:M33)</f>
        <v>30030000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257">
        <f>SUM(H33:M33)</f>
        <v>30030000</v>
      </c>
      <c r="O33" s="173">
        <v>30030000</v>
      </c>
      <c r="P33" s="132">
        <v>0</v>
      </c>
      <c r="Q33" s="257">
        <f>SUM(O33:P33)</f>
        <v>30030000</v>
      </c>
      <c r="R33" s="132">
        <v>30030000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3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265">
        <f>SUM(R33:AC33)</f>
        <v>30030000</v>
      </c>
      <c r="AE33" s="132">
        <f aca="true" t="shared" si="38" ref="AE33:AP35">R33</f>
        <v>30030000</v>
      </c>
      <c r="AF33" s="132">
        <f t="shared" si="38"/>
        <v>0</v>
      </c>
      <c r="AG33" s="132">
        <f t="shared" si="38"/>
        <v>0</v>
      </c>
      <c r="AH33" s="132">
        <f t="shared" si="38"/>
        <v>0</v>
      </c>
      <c r="AI33" s="132">
        <f t="shared" si="38"/>
        <v>0</v>
      </c>
      <c r="AJ33" s="132">
        <f t="shared" si="38"/>
        <v>0</v>
      </c>
      <c r="AK33" s="133">
        <f t="shared" si="38"/>
        <v>0</v>
      </c>
      <c r="AL33" s="132">
        <f t="shared" si="38"/>
        <v>0</v>
      </c>
      <c r="AM33" s="132">
        <f t="shared" si="38"/>
        <v>0</v>
      </c>
      <c r="AN33" s="132">
        <f t="shared" si="38"/>
        <v>0</v>
      </c>
      <c r="AO33" s="132">
        <f t="shared" si="38"/>
        <v>0</v>
      </c>
      <c r="AP33" s="132">
        <f t="shared" si="38"/>
        <v>0</v>
      </c>
      <c r="AQ33" s="265">
        <f>SUM(AE33:AP33)</f>
        <v>30030000</v>
      </c>
      <c r="AR33" s="173">
        <v>0</v>
      </c>
      <c r="AS33" s="132">
        <v>30030000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  <c r="AY33" s="132">
        <v>0</v>
      </c>
      <c r="AZ33" s="132">
        <v>0</v>
      </c>
      <c r="BA33" s="132">
        <v>0</v>
      </c>
      <c r="BB33" s="132">
        <v>0</v>
      </c>
      <c r="BC33" s="132">
        <v>0</v>
      </c>
      <c r="BD33" s="257">
        <f>SUM(AR33:BC33)</f>
        <v>30030000</v>
      </c>
      <c r="BE33" s="283">
        <f>Q33-AD33</f>
        <v>0</v>
      </c>
      <c r="BF33" s="277">
        <f>AQ33-BD33</f>
        <v>0</v>
      </c>
    </row>
    <row r="34" spans="1:58" ht="30.75" customHeight="1">
      <c r="A34" s="136" t="s">
        <v>174</v>
      </c>
      <c r="B34" s="130" t="s">
        <v>134</v>
      </c>
      <c r="C34" s="130" t="s">
        <v>185</v>
      </c>
      <c r="D34" s="130" t="s">
        <v>189</v>
      </c>
      <c r="E34" s="130" t="s">
        <v>199</v>
      </c>
      <c r="F34" s="130" t="s">
        <v>197</v>
      </c>
      <c r="G34" s="287" t="s">
        <v>200</v>
      </c>
      <c r="H34" s="173">
        <f>Q34-SUM(I34:M34)</f>
        <v>401943817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257">
        <f>SUM(H34:M34)</f>
        <v>401943817</v>
      </c>
      <c r="O34" s="173">
        <v>401943817</v>
      </c>
      <c r="P34" s="132">
        <v>0</v>
      </c>
      <c r="Q34" s="257">
        <f>SUM(O34:P34)</f>
        <v>401943817</v>
      </c>
      <c r="R34" s="132">
        <v>401943817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3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265">
        <f>SUM(R34:AC34)</f>
        <v>401943817</v>
      </c>
      <c r="AE34" s="132">
        <f t="shared" si="38"/>
        <v>401943817</v>
      </c>
      <c r="AF34" s="132">
        <f t="shared" si="38"/>
        <v>0</v>
      </c>
      <c r="AG34" s="132">
        <f t="shared" si="38"/>
        <v>0</v>
      </c>
      <c r="AH34" s="132">
        <f t="shared" si="38"/>
        <v>0</v>
      </c>
      <c r="AI34" s="132">
        <f t="shared" si="38"/>
        <v>0</v>
      </c>
      <c r="AJ34" s="132">
        <f t="shared" si="38"/>
        <v>0</v>
      </c>
      <c r="AK34" s="133">
        <f t="shared" si="38"/>
        <v>0</v>
      </c>
      <c r="AL34" s="132">
        <f t="shared" si="38"/>
        <v>0</v>
      </c>
      <c r="AM34" s="132">
        <f t="shared" si="38"/>
        <v>0</v>
      </c>
      <c r="AN34" s="132">
        <f t="shared" si="38"/>
        <v>0</v>
      </c>
      <c r="AO34" s="132">
        <f t="shared" si="38"/>
        <v>0</v>
      </c>
      <c r="AP34" s="132">
        <f t="shared" si="38"/>
        <v>0</v>
      </c>
      <c r="AQ34" s="265">
        <f>SUM(AE34:AP34)</f>
        <v>401943817</v>
      </c>
      <c r="AR34" s="173">
        <v>0</v>
      </c>
      <c r="AS34" s="132">
        <v>0</v>
      </c>
      <c r="AT34" s="132">
        <v>322287000</v>
      </c>
      <c r="AU34" s="132">
        <v>0</v>
      </c>
      <c r="AV34" s="132">
        <v>0</v>
      </c>
      <c r="AW34" s="132">
        <v>27810000</v>
      </c>
      <c r="AX34" s="133">
        <v>51846817</v>
      </c>
      <c r="AY34" s="132">
        <v>0</v>
      </c>
      <c r="AZ34" s="132">
        <v>0</v>
      </c>
      <c r="BA34" s="132">
        <v>0</v>
      </c>
      <c r="BB34" s="132">
        <v>0</v>
      </c>
      <c r="BC34" s="132">
        <v>0</v>
      </c>
      <c r="BD34" s="257">
        <f>SUM(AR34:BC34)</f>
        <v>401943817</v>
      </c>
      <c r="BE34" s="283">
        <f>Q34-AD34</f>
        <v>0</v>
      </c>
      <c r="BF34" s="277">
        <f>AQ34-BD34</f>
        <v>0</v>
      </c>
    </row>
    <row r="35" spans="1:58" ht="30.75" customHeight="1" thickBot="1">
      <c r="A35" s="137" t="s">
        <v>174</v>
      </c>
      <c r="B35" s="138" t="s">
        <v>134</v>
      </c>
      <c r="C35" s="138" t="s">
        <v>185</v>
      </c>
      <c r="D35" s="138" t="s">
        <v>189</v>
      </c>
      <c r="E35" s="138" t="s">
        <v>202</v>
      </c>
      <c r="F35" s="138" t="s">
        <v>197</v>
      </c>
      <c r="G35" s="288" t="s">
        <v>203</v>
      </c>
      <c r="H35" s="174">
        <f>Q35-SUM(I35:M35)</f>
        <v>26615000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258">
        <f>SUM(H35:M35)</f>
        <v>26615000</v>
      </c>
      <c r="O35" s="174">
        <v>26615000</v>
      </c>
      <c r="P35" s="141">
        <v>0</v>
      </c>
      <c r="Q35" s="258">
        <f>SUM(O35:P35)</f>
        <v>26615000</v>
      </c>
      <c r="R35" s="141">
        <v>26615000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2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266">
        <f>SUM(R35:AC35)</f>
        <v>26615000</v>
      </c>
      <c r="AE35" s="141">
        <f t="shared" si="38"/>
        <v>26615000</v>
      </c>
      <c r="AF35" s="141">
        <f t="shared" si="38"/>
        <v>0</v>
      </c>
      <c r="AG35" s="141">
        <f t="shared" si="38"/>
        <v>0</v>
      </c>
      <c r="AH35" s="141">
        <f t="shared" si="38"/>
        <v>0</v>
      </c>
      <c r="AI35" s="141">
        <f t="shared" si="38"/>
        <v>0</v>
      </c>
      <c r="AJ35" s="141">
        <f t="shared" si="38"/>
        <v>0</v>
      </c>
      <c r="AK35" s="142">
        <f t="shared" si="38"/>
        <v>0</v>
      </c>
      <c r="AL35" s="141">
        <f t="shared" si="38"/>
        <v>0</v>
      </c>
      <c r="AM35" s="141">
        <f t="shared" si="38"/>
        <v>0</v>
      </c>
      <c r="AN35" s="141">
        <f t="shared" si="38"/>
        <v>0</v>
      </c>
      <c r="AO35" s="141">
        <f t="shared" si="38"/>
        <v>0</v>
      </c>
      <c r="AP35" s="141">
        <f t="shared" si="38"/>
        <v>0</v>
      </c>
      <c r="AQ35" s="266">
        <f>SUM(AE35:AP35)</f>
        <v>26615000</v>
      </c>
      <c r="AR35" s="174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17955000</v>
      </c>
      <c r="AX35" s="142">
        <v>6615000</v>
      </c>
      <c r="AY35" s="141">
        <v>0</v>
      </c>
      <c r="AZ35" s="141">
        <v>0</v>
      </c>
      <c r="BA35" s="141">
        <v>0</v>
      </c>
      <c r="BB35" s="141">
        <v>2045000</v>
      </c>
      <c r="BC35" s="141">
        <v>0</v>
      </c>
      <c r="BD35" s="258">
        <f>SUM(AR35:BC35)</f>
        <v>26615000</v>
      </c>
      <c r="BE35" s="285">
        <f>Q35-AD35</f>
        <v>0</v>
      </c>
      <c r="BF35" s="280">
        <f>AQ35-BD35</f>
        <v>0</v>
      </c>
    </row>
    <row r="37" spans="1:58" ht="12.75">
      <c r="A37" s="100" t="s">
        <v>206</v>
      </c>
      <c r="B37" s="100"/>
      <c r="C37" s="100"/>
      <c r="D37" s="100"/>
      <c r="E37" s="100"/>
      <c r="F37" s="100"/>
      <c r="G37" s="10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106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6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06"/>
      <c r="AY37" s="99"/>
      <c r="AZ37" s="99"/>
      <c r="BA37" s="99"/>
      <c r="BB37" s="99"/>
      <c r="BC37" s="99"/>
      <c r="BD37" s="99"/>
      <c r="BE37" s="99"/>
      <c r="BF37" s="99"/>
    </row>
    <row r="38" ht="13.5" thickBot="1"/>
    <row r="39" spans="1:58" ht="12.75">
      <c r="A39" s="37"/>
      <c r="B39" s="37"/>
      <c r="C39" s="37"/>
      <c r="D39" s="37"/>
      <c r="E39" s="37"/>
      <c r="F39" s="37"/>
      <c r="G39" s="201" t="s">
        <v>207</v>
      </c>
      <c r="H39" s="221">
        <f aca="true" t="shared" si="39" ref="H39:AI39">H10+H21</f>
        <v>352076688</v>
      </c>
      <c r="I39" s="202">
        <f t="shared" si="39"/>
        <v>0</v>
      </c>
      <c r="J39" s="202">
        <f t="shared" si="39"/>
        <v>0</v>
      </c>
      <c r="K39" s="202">
        <f t="shared" si="39"/>
        <v>0</v>
      </c>
      <c r="L39" s="202">
        <f t="shared" si="39"/>
        <v>0</v>
      </c>
      <c r="M39" s="202">
        <f t="shared" si="39"/>
        <v>0</v>
      </c>
      <c r="N39" s="204">
        <f t="shared" si="39"/>
        <v>352076688</v>
      </c>
      <c r="O39" s="221">
        <f t="shared" si="39"/>
        <v>352076688</v>
      </c>
      <c r="P39" s="202">
        <f t="shared" si="39"/>
        <v>0</v>
      </c>
      <c r="Q39" s="204">
        <f t="shared" si="39"/>
        <v>352076688</v>
      </c>
      <c r="R39" s="221">
        <f t="shared" si="39"/>
        <v>352076688</v>
      </c>
      <c r="S39" s="202">
        <f t="shared" si="39"/>
        <v>0</v>
      </c>
      <c r="T39" s="202">
        <f t="shared" si="39"/>
        <v>0</v>
      </c>
      <c r="U39" s="202">
        <f t="shared" si="39"/>
        <v>0</v>
      </c>
      <c r="V39" s="202">
        <f t="shared" si="39"/>
        <v>0</v>
      </c>
      <c r="W39" s="202">
        <f t="shared" si="39"/>
        <v>0</v>
      </c>
      <c r="X39" s="203">
        <f t="shared" si="39"/>
        <v>0</v>
      </c>
      <c r="Y39" s="202">
        <f t="shared" si="39"/>
        <v>0</v>
      </c>
      <c r="Z39" s="202">
        <f t="shared" si="39"/>
        <v>0</v>
      </c>
      <c r="AA39" s="202">
        <f t="shared" si="39"/>
        <v>0</v>
      </c>
      <c r="AB39" s="202">
        <f t="shared" si="39"/>
        <v>0</v>
      </c>
      <c r="AC39" s="202">
        <f t="shared" si="39"/>
        <v>0</v>
      </c>
      <c r="AD39" s="204">
        <f t="shared" si="39"/>
        <v>352076688</v>
      </c>
      <c r="AE39" s="221">
        <f t="shared" si="39"/>
        <v>352076688</v>
      </c>
      <c r="AF39" s="202">
        <f t="shared" si="39"/>
        <v>0</v>
      </c>
      <c r="AG39" s="202">
        <f t="shared" si="39"/>
        <v>0</v>
      </c>
      <c r="AH39" s="202">
        <f t="shared" si="39"/>
        <v>0</v>
      </c>
      <c r="AI39" s="202">
        <f t="shared" si="39"/>
        <v>0</v>
      </c>
      <c r="AJ39" s="202">
        <f aca="true" t="shared" si="40" ref="AJ39:BF39">AJ10+AJ21</f>
        <v>0</v>
      </c>
      <c r="AK39" s="203">
        <f t="shared" si="40"/>
        <v>0</v>
      </c>
      <c r="AL39" s="202">
        <f t="shared" si="40"/>
        <v>0</v>
      </c>
      <c r="AM39" s="202">
        <f t="shared" si="40"/>
        <v>0</v>
      </c>
      <c r="AN39" s="202">
        <f t="shared" si="40"/>
        <v>0</v>
      </c>
      <c r="AO39" s="202">
        <f t="shared" si="40"/>
        <v>0</v>
      </c>
      <c r="AP39" s="202">
        <f t="shared" si="40"/>
        <v>0</v>
      </c>
      <c r="AQ39" s="204">
        <f t="shared" si="40"/>
        <v>352076688</v>
      </c>
      <c r="AR39" s="202">
        <f t="shared" si="40"/>
        <v>51199667</v>
      </c>
      <c r="AS39" s="202">
        <f t="shared" si="40"/>
        <v>205368422</v>
      </c>
      <c r="AT39" s="202">
        <f t="shared" si="40"/>
        <v>66988274</v>
      </c>
      <c r="AU39" s="202">
        <f t="shared" si="40"/>
        <v>4946556</v>
      </c>
      <c r="AV39" s="202">
        <f t="shared" si="40"/>
        <v>639190</v>
      </c>
      <c r="AW39" s="202">
        <f t="shared" si="40"/>
        <v>0</v>
      </c>
      <c r="AX39" s="203">
        <f t="shared" si="40"/>
        <v>0</v>
      </c>
      <c r="AY39" s="202">
        <f t="shared" si="40"/>
        <v>9999910</v>
      </c>
      <c r="AZ39" s="202">
        <f t="shared" si="40"/>
        <v>0</v>
      </c>
      <c r="BA39" s="202">
        <f t="shared" si="40"/>
        <v>5766662</v>
      </c>
      <c r="BB39" s="202">
        <f t="shared" si="40"/>
        <v>605994</v>
      </c>
      <c r="BC39" s="202">
        <f t="shared" si="40"/>
        <v>-9487127</v>
      </c>
      <c r="BD39" s="202">
        <f t="shared" si="40"/>
        <v>336027548</v>
      </c>
      <c r="BE39" s="221">
        <f t="shared" si="40"/>
        <v>0</v>
      </c>
      <c r="BF39" s="204">
        <f t="shared" si="40"/>
        <v>16049140</v>
      </c>
    </row>
    <row r="40" spans="1:58" ht="13.5" thickBot="1">
      <c r="A40" s="37"/>
      <c r="B40" s="37"/>
      <c r="C40" s="37"/>
      <c r="D40" s="37"/>
      <c r="E40" s="37"/>
      <c r="F40" s="37"/>
      <c r="G40" s="205" t="s">
        <v>208</v>
      </c>
      <c r="H40" s="222">
        <f aca="true" t="shared" si="41" ref="H40:AI40">H31</f>
        <v>458588817</v>
      </c>
      <c r="I40" s="206">
        <f t="shared" si="41"/>
        <v>0</v>
      </c>
      <c r="J40" s="206">
        <f t="shared" si="41"/>
        <v>0</v>
      </c>
      <c r="K40" s="206">
        <f t="shared" si="41"/>
        <v>0</v>
      </c>
      <c r="L40" s="206">
        <f t="shared" si="41"/>
        <v>0</v>
      </c>
      <c r="M40" s="206">
        <f t="shared" si="41"/>
        <v>0</v>
      </c>
      <c r="N40" s="208">
        <f t="shared" si="41"/>
        <v>458588817</v>
      </c>
      <c r="O40" s="222">
        <f t="shared" si="41"/>
        <v>458588817</v>
      </c>
      <c r="P40" s="206">
        <f t="shared" si="41"/>
        <v>0</v>
      </c>
      <c r="Q40" s="208">
        <f t="shared" si="41"/>
        <v>458588817</v>
      </c>
      <c r="R40" s="222">
        <f t="shared" si="41"/>
        <v>458588817</v>
      </c>
      <c r="S40" s="206">
        <f t="shared" si="41"/>
        <v>0</v>
      </c>
      <c r="T40" s="206">
        <f t="shared" si="41"/>
        <v>0</v>
      </c>
      <c r="U40" s="206">
        <f t="shared" si="41"/>
        <v>0</v>
      </c>
      <c r="V40" s="206">
        <f t="shared" si="41"/>
        <v>0</v>
      </c>
      <c r="W40" s="206">
        <f t="shared" si="41"/>
        <v>0</v>
      </c>
      <c r="X40" s="207">
        <f t="shared" si="41"/>
        <v>0</v>
      </c>
      <c r="Y40" s="206">
        <f t="shared" si="41"/>
        <v>0</v>
      </c>
      <c r="Z40" s="206">
        <f t="shared" si="41"/>
        <v>0</v>
      </c>
      <c r="AA40" s="206">
        <f t="shared" si="41"/>
        <v>0</v>
      </c>
      <c r="AB40" s="206">
        <f t="shared" si="41"/>
        <v>0</v>
      </c>
      <c r="AC40" s="206">
        <f t="shared" si="41"/>
        <v>0</v>
      </c>
      <c r="AD40" s="208">
        <f t="shared" si="41"/>
        <v>458588817</v>
      </c>
      <c r="AE40" s="222">
        <f t="shared" si="41"/>
        <v>458588817</v>
      </c>
      <c r="AF40" s="206">
        <f t="shared" si="41"/>
        <v>0</v>
      </c>
      <c r="AG40" s="206">
        <f t="shared" si="41"/>
        <v>0</v>
      </c>
      <c r="AH40" s="206">
        <f t="shared" si="41"/>
        <v>0</v>
      </c>
      <c r="AI40" s="206">
        <f t="shared" si="41"/>
        <v>0</v>
      </c>
      <c r="AJ40" s="206">
        <f aca="true" t="shared" si="42" ref="AJ40:BF40">AJ31</f>
        <v>0</v>
      </c>
      <c r="AK40" s="207">
        <f t="shared" si="42"/>
        <v>0</v>
      </c>
      <c r="AL40" s="206">
        <f t="shared" si="42"/>
        <v>0</v>
      </c>
      <c r="AM40" s="206">
        <f t="shared" si="42"/>
        <v>0</v>
      </c>
      <c r="AN40" s="206">
        <f t="shared" si="42"/>
        <v>0</v>
      </c>
      <c r="AO40" s="206">
        <f t="shared" si="42"/>
        <v>0</v>
      </c>
      <c r="AP40" s="206">
        <f t="shared" si="42"/>
        <v>0</v>
      </c>
      <c r="AQ40" s="208">
        <f t="shared" si="42"/>
        <v>458588817</v>
      </c>
      <c r="AR40" s="206">
        <f t="shared" si="42"/>
        <v>0</v>
      </c>
      <c r="AS40" s="206">
        <f t="shared" si="42"/>
        <v>30030000</v>
      </c>
      <c r="AT40" s="206">
        <f t="shared" si="42"/>
        <v>322287000</v>
      </c>
      <c r="AU40" s="206">
        <f t="shared" si="42"/>
        <v>0</v>
      </c>
      <c r="AV40" s="206">
        <f t="shared" si="42"/>
        <v>0</v>
      </c>
      <c r="AW40" s="206">
        <f t="shared" si="42"/>
        <v>45765000</v>
      </c>
      <c r="AX40" s="207">
        <f t="shared" si="42"/>
        <v>58461817</v>
      </c>
      <c r="AY40" s="206">
        <f t="shared" si="42"/>
        <v>0</v>
      </c>
      <c r="AZ40" s="206">
        <f t="shared" si="42"/>
        <v>0</v>
      </c>
      <c r="BA40" s="206">
        <f t="shared" si="42"/>
        <v>0</v>
      </c>
      <c r="BB40" s="206">
        <f t="shared" si="42"/>
        <v>2045000</v>
      </c>
      <c r="BC40" s="206">
        <f t="shared" si="42"/>
        <v>0</v>
      </c>
      <c r="BD40" s="206">
        <f t="shared" si="42"/>
        <v>458588817</v>
      </c>
      <c r="BE40" s="222">
        <f t="shared" si="42"/>
        <v>0</v>
      </c>
      <c r="BF40" s="208">
        <f t="shared" si="42"/>
        <v>0</v>
      </c>
    </row>
    <row r="41" ht="13.5" thickBot="1"/>
    <row r="42" spans="1:58" ht="12.75">
      <c r="A42" s="37"/>
      <c r="B42" s="37"/>
      <c r="C42" s="37"/>
      <c r="D42" s="37"/>
      <c r="E42" s="37"/>
      <c r="F42" s="37"/>
      <c r="G42" s="209" t="s">
        <v>133</v>
      </c>
      <c r="H42" s="223">
        <f aca="true" t="shared" si="43" ref="H42:AI42">H10</f>
        <v>98761834</v>
      </c>
      <c r="I42" s="210">
        <f t="shared" si="43"/>
        <v>0</v>
      </c>
      <c r="J42" s="210">
        <f t="shared" si="43"/>
        <v>0</v>
      </c>
      <c r="K42" s="210">
        <f t="shared" si="43"/>
        <v>0</v>
      </c>
      <c r="L42" s="210">
        <f t="shared" si="43"/>
        <v>0</v>
      </c>
      <c r="M42" s="210">
        <f t="shared" si="43"/>
        <v>0</v>
      </c>
      <c r="N42" s="212">
        <f t="shared" si="43"/>
        <v>98761834</v>
      </c>
      <c r="O42" s="223">
        <f t="shared" si="43"/>
        <v>98761834</v>
      </c>
      <c r="P42" s="210">
        <f t="shared" si="43"/>
        <v>0</v>
      </c>
      <c r="Q42" s="212">
        <f t="shared" si="43"/>
        <v>98761834</v>
      </c>
      <c r="R42" s="223">
        <f t="shared" si="43"/>
        <v>98761834</v>
      </c>
      <c r="S42" s="210">
        <f t="shared" si="43"/>
        <v>0</v>
      </c>
      <c r="T42" s="210">
        <f t="shared" si="43"/>
        <v>0</v>
      </c>
      <c r="U42" s="210">
        <f t="shared" si="43"/>
        <v>0</v>
      </c>
      <c r="V42" s="210">
        <f t="shared" si="43"/>
        <v>0</v>
      </c>
      <c r="W42" s="210">
        <f t="shared" si="43"/>
        <v>0</v>
      </c>
      <c r="X42" s="211">
        <f t="shared" si="43"/>
        <v>0</v>
      </c>
      <c r="Y42" s="210">
        <f t="shared" si="43"/>
        <v>0</v>
      </c>
      <c r="Z42" s="210">
        <f t="shared" si="43"/>
        <v>0</v>
      </c>
      <c r="AA42" s="210">
        <f t="shared" si="43"/>
        <v>0</v>
      </c>
      <c r="AB42" s="210">
        <f t="shared" si="43"/>
        <v>0</v>
      </c>
      <c r="AC42" s="210">
        <f t="shared" si="43"/>
        <v>0</v>
      </c>
      <c r="AD42" s="212">
        <f t="shared" si="43"/>
        <v>98761834</v>
      </c>
      <c r="AE42" s="223">
        <f t="shared" si="43"/>
        <v>98761834</v>
      </c>
      <c r="AF42" s="210">
        <f t="shared" si="43"/>
        <v>0</v>
      </c>
      <c r="AG42" s="210">
        <f t="shared" si="43"/>
        <v>0</v>
      </c>
      <c r="AH42" s="210">
        <f t="shared" si="43"/>
        <v>0</v>
      </c>
      <c r="AI42" s="210">
        <f t="shared" si="43"/>
        <v>0</v>
      </c>
      <c r="AJ42" s="210">
        <f aca="true" t="shared" si="44" ref="AJ42:BF42">AJ10</f>
        <v>0</v>
      </c>
      <c r="AK42" s="211">
        <f t="shared" si="44"/>
        <v>0</v>
      </c>
      <c r="AL42" s="210">
        <f t="shared" si="44"/>
        <v>0</v>
      </c>
      <c r="AM42" s="210">
        <f t="shared" si="44"/>
        <v>0</v>
      </c>
      <c r="AN42" s="210">
        <f t="shared" si="44"/>
        <v>0</v>
      </c>
      <c r="AO42" s="210">
        <f t="shared" si="44"/>
        <v>0</v>
      </c>
      <c r="AP42" s="210">
        <f t="shared" si="44"/>
        <v>0</v>
      </c>
      <c r="AQ42" s="212">
        <f t="shared" si="44"/>
        <v>98761834</v>
      </c>
      <c r="AR42" s="223">
        <f t="shared" si="44"/>
        <v>36839473</v>
      </c>
      <c r="AS42" s="210">
        <f t="shared" si="44"/>
        <v>37275119</v>
      </c>
      <c r="AT42" s="210">
        <f t="shared" si="44"/>
        <v>9370021</v>
      </c>
      <c r="AU42" s="210">
        <f t="shared" si="44"/>
        <v>4946556</v>
      </c>
      <c r="AV42" s="210">
        <f t="shared" si="44"/>
        <v>639190</v>
      </c>
      <c r="AW42" s="210">
        <f t="shared" si="44"/>
        <v>0</v>
      </c>
      <c r="AX42" s="211">
        <f t="shared" si="44"/>
        <v>0</v>
      </c>
      <c r="AY42" s="210">
        <f t="shared" si="44"/>
        <v>0</v>
      </c>
      <c r="AZ42" s="210">
        <f t="shared" si="44"/>
        <v>0</v>
      </c>
      <c r="BA42" s="210">
        <f t="shared" si="44"/>
        <v>5766257</v>
      </c>
      <c r="BB42" s="210">
        <f t="shared" si="44"/>
        <v>599279</v>
      </c>
      <c r="BC42" s="210">
        <f t="shared" si="44"/>
        <v>600</v>
      </c>
      <c r="BD42" s="212">
        <f t="shared" si="44"/>
        <v>95436495</v>
      </c>
      <c r="BE42" s="223">
        <f t="shared" si="44"/>
        <v>0</v>
      </c>
      <c r="BF42" s="212">
        <f t="shared" si="44"/>
        <v>3325339</v>
      </c>
    </row>
    <row r="43" spans="1:58" ht="13.5" thickBot="1">
      <c r="A43" s="37"/>
      <c r="B43" s="37"/>
      <c r="C43" s="37"/>
      <c r="D43" s="37"/>
      <c r="E43" s="37"/>
      <c r="F43" s="37"/>
      <c r="G43" s="213" t="s">
        <v>175</v>
      </c>
      <c r="H43" s="224">
        <f aca="true" t="shared" si="45" ref="H43:AI43">H17</f>
        <v>711903671</v>
      </c>
      <c r="I43" s="214">
        <f t="shared" si="45"/>
        <v>0</v>
      </c>
      <c r="J43" s="214">
        <f t="shared" si="45"/>
        <v>0</v>
      </c>
      <c r="K43" s="214">
        <f t="shared" si="45"/>
        <v>0</v>
      </c>
      <c r="L43" s="214">
        <f t="shared" si="45"/>
        <v>0</v>
      </c>
      <c r="M43" s="214">
        <f t="shared" si="45"/>
        <v>0</v>
      </c>
      <c r="N43" s="216">
        <f t="shared" si="45"/>
        <v>711903671</v>
      </c>
      <c r="O43" s="224">
        <f t="shared" si="45"/>
        <v>711903671</v>
      </c>
      <c r="P43" s="214">
        <f t="shared" si="45"/>
        <v>0</v>
      </c>
      <c r="Q43" s="216">
        <f t="shared" si="45"/>
        <v>711903671</v>
      </c>
      <c r="R43" s="224">
        <f t="shared" si="45"/>
        <v>711903671</v>
      </c>
      <c r="S43" s="214">
        <f t="shared" si="45"/>
        <v>0</v>
      </c>
      <c r="T43" s="214">
        <f t="shared" si="45"/>
        <v>0</v>
      </c>
      <c r="U43" s="214">
        <f t="shared" si="45"/>
        <v>0</v>
      </c>
      <c r="V43" s="214">
        <f t="shared" si="45"/>
        <v>0</v>
      </c>
      <c r="W43" s="214">
        <f t="shared" si="45"/>
        <v>0</v>
      </c>
      <c r="X43" s="215">
        <f t="shared" si="45"/>
        <v>0</v>
      </c>
      <c r="Y43" s="214">
        <f t="shared" si="45"/>
        <v>0</v>
      </c>
      <c r="Z43" s="214">
        <f t="shared" si="45"/>
        <v>0</v>
      </c>
      <c r="AA43" s="214">
        <f t="shared" si="45"/>
        <v>0</v>
      </c>
      <c r="AB43" s="214">
        <f t="shared" si="45"/>
        <v>0</v>
      </c>
      <c r="AC43" s="214">
        <f t="shared" si="45"/>
        <v>0</v>
      </c>
      <c r="AD43" s="216">
        <f t="shared" si="45"/>
        <v>711903671</v>
      </c>
      <c r="AE43" s="224">
        <f t="shared" si="45"/>
        <v>711903671</v>
      </c>
      <c r="AF43" s="214">
        <f t="shared" si="45"/>
        <v>0</v>
      </c>
      <c r="AG43" s="214">
        <f t="shared" si="45"/>
        <v>0</v>
      </c>
      <c r="AH43" s="214">
        <f t="shared" si="45"/>
        <v>0</v>
      </c>
      <c r="AI43" s="214">
        <f t="shared" si="45"/>
        <v>0</v>
      </c>
      <c r="AJ43" s="214">
        <f aca="true" t="shared" si="46" ref="AJ43:BF43">AJ17</f>
        <v>0</v>
      </c>
      <c r="AK43" s="215">
        <f t="shared" si="46"/>
        <v>0</v>
      </c>
      <c r="AL43" s="214">
        <f t="shared" si="46"/>
        <v>0</v>
      </c>
      <c r="AM43" s="214">
        <f t="shared" si="46"/>
        <v>0</v>
      </c>
      <c r="AN43" s="214">
        <f t="shared" si="46"/>
        <v>0</v>
      </c>
      <c r="AO43" s="214">
        <f t="shared" si="46"/>
        <v>0</v>
      </c>
      <c r="AP43" s="214">
        <f t="shared" si="46"/>
        <v>0</v>
      </c>
      <c r="AQ43" s="216">
        <f t="shared" si="46"/>
        <v>711903671</v>
      </c>
      <c r="AR43" s="224">
        <f t="shared" si="46"/>
        <v>14360194</v>
      </c>
      <c r="AS43" s="214">
        <f t="shared" si="46"/>
        <v>198123303</v>
      </c>
      <c r="AT43" s="214">
        <f t="shared" si="46"/>
        <v>379905253</v>
      </c>
      <c r="AU43" s="214">
        <f t="shared" si="46"/>
        <v>0</v>
      </c>
      <c r="AV43" s="214">
        <f t="shared" si="46"/>
        <v>0</v>
      </c>
      <c r="AW43" s="214">
        <f t="shared" si="46"/>
        <v>45765000</v>
      </c>
      <c r="AX43" s="215">
        <f t="shared" si="46"/>
        <v>58461817</v>
      </c>
      <c r="AY43" s="214">
        <f t="shared" si="46"/>
        <v>9999910</v>
      </c>
      <c r="AZ43" s="214">
        <f t="shared" si="46"/>
        <v>0</v>
      </c>
      <c r="BA43" s="214">
        <f t="shared" si="46"/>
        <v>405</v>
      </c>
      <c r="BB43" s="214">
        <f t="shared" si="46"/>
        <v>2051715</v>
      </c>
      <c r="BC43" s="214">
        <f t="shared" si="46"/>
        <v>-9487727</v>
      </c>
      <c r="BD43" s="216">
        <f t="shared" si="46"/>
        <v>699179870</v>
      </c>
      <c r="BE43" s="224">
        <f t="shared" si="46"/>
        <v>0</v>
      </c>
      <c r="BF43" s="216">
        <f t="shared" si="46"/>
        <v>12723801</v>
      </c>
    </row>
    <row r="44" ht="13.5" thickBot="1"/>
    <row r="45" spans="1:58" ht="13.5" thickBot="1">
      <c r="A45" s="37"/>
      <c r="B45" s="37"/>
      <c r="C45" s="37"/>
      <c r="D45" s="37"/>
      <c r="E45" s="37"/>
      <c r="F45" s="37"/>
      <c r="G45" s="217" t="s">
        <v>209</v>
      </c>
      <c r="H45" s="225">
        <f aca="true" t="shared" si="47" ref="H45:AI45">SUM(H39:H43)/2</f>
        <v>810665505</v>
      </c>
      <c r="I45" s="218">
        <f t="shared" si="47"/>
        <v>0</v>
      </c>
      <c r="J45" s="218">
        <f t="shared" si="47"/>
        <v>0</v>
      </c>
      <c r="K45" s="218">
        <f t="shared" si="47"/>
        <v>0</v>
      </c>
      <c r="L45" s="218">
        <f t="shared" si="47"/>
        <v>0</v>
      </c>
      <c r="M45" s="218">
        <f t="shared" si="47"/>
        <v>0</v>
      </c>
      <c r="N45" s="220">
        <f t="shared" si="47"/>
        <v>810665505</v>
      </c>
      <c r="O45" s="225">
        <f t="shared" si="47"/>
        <v>810665505</v>
      </c>
      <c r="P45" s="218">
        <f t="shared" si="47"/>
        <v>0</v>
      </c>
      <c r="Q45" s="220">
        <f t="shared" si="47"/>
        <v>810665505</v>
      </c>
      <c r="R45" s="225">
        <f t="shared" si="47"/>
        <v>810665505</v>
      </c>
      <c r="S45" s="218">
        <f t="shared" si="47"/>
        <v>0</v>
      </c>
      <c r="T45" s="218">
        <f t="shared" si="47"/>
        <v>0</v>
      </c>
      <c r="U45" s="218">
        <f t="shared" si="47"/>
        <v>0</v>
      </c>
      <c r="V45" s="218">
        <f t="shared" si="47"/>
        <v>0</v>
      </c>
      <c r="W45" s="218">
        <f t="shared" si="47"/>
        <v>0</v>
      </c>
      <c r="X45" s="219">
        <f t="shared" si="47"/>
        <v>0</v>
      </c>
      <c r="Y45" s="218">
        <f t="shared" si="47"/>
        <v>0</v>
      </c>
      <c r="Z45" s="218">
        <f t="shared" si="47"/>
        <v>0</v>
      </c>
      <c r="AA45" s="218">
        <f t="shared" si="47"/>
        <v>0</v>
      </c>
      <c r="AB45" s="218">
        <f t="shared" si="47"/>
        <v>0</v>
      </c>
      <c r="AC45" s="218">
        <f t="shared" si="47"/>
        <v>0</v>
      </c>
      <c r="AD45" s="220">
        <f t="shared" si="47"/>
        <v>810665505</v>
      </c>
      <c r="AE45" s="225">
        <f t="shared" si="47"/>
        <v>810665505</v>
      </c>
      <c r="AF45" s="218">
        <f t="shared" si="47"/>
        <v>0</v>
      </c>
      <c r="AG45" s="218">
        <f t="shared" si="47"/>
        <v>0</v>
      </c>
      <c r="AH45" s="218">
        <f t="shared" si="47"/>
        <v>0</v>
      </c>
      <c r="AI45" s="218">
        <f t="shared" si="47"/>
        <v>0</v>
      </c>
      <c r="AJ45" s="218">
        <f aca="true" t="shared" si="48" ref="AJ45:BF45">SUM(AJ39:AJ43)/2</f>
        <v>0</v>
      </c>
      <c r="AK45" s="219">
        <f t="shared" si="48"/>
        <v>0</v>
      </c>
      <c r="AL45" s="218">
        <f t="shared" si="48"/>
        <v>0</v>
      </c>
      <c r="AM45" s="218">
        <f t="shared" si="48"/>
        <v>0</v>
      </c>
      <c r="AN45" s="218">
        <f t="shared" si="48"/>
        <v>0</v>
      </c>
      <c r="AO45" s="218">
        <f t="shared" si="48"/>
        <v>0</v>
      </c>
      <c r="AP45" s="218">
        <f t="shared" si="48"/>
        <v>0</v>
      </c>
      <c r="AQ45" s="220">
        <f t="shared" si="48"/>
        <v>810665505</v>
      </c>
      <c r="AR45" s="225">
        <f t="shared" si="48"/>
        <v>51199667</v>
      </c>
      <c r="AS45" s="218">
        <f t="shared" si="48"/>
        <v>235398422</v>
      </c>
      <c r="AT45" s="218">
        <f t="shared" si="48"/>
        <v>389275274</v>
      </c>
      <c r="AU45" s="218">
        <f t="shared" si="48"/>
        <v>4946556</v>
      </c>
      <c r="AV45" s="218">
        <f t="shared" si="48"/>
        <v>639190</v>
      </c>
      <c r="AW45" s="218">
        <f t="shared" si="48"/>
        <v>45765000</v>
      </c>
      <c r="AX45" s="219">
        <f t="shared" si="48"/>
        <v>58461817</v>
      </c>
      <c r="AY45" s="218">
        <f t="shared" si="48"/>
        <v>9999910</v>
      </c>
      <c r="AZ45" s="218">
        <f t="shared" si="48"/>
        <v>0</v>
      </c>
      <c r="BA45" s="218">
        <f t="shared" si="48"/>
        <v>5766662</v>
      </c>
      <c r="BB45" s="218">
        <f t="shared" si="48"/>
        <v>2650994</v>
      </c>
      <c r="BC45" s="218">
        <f t="shared" si="48"/>
        <v>-9487127</v>
      </c>
      <c r="BD45" s="220">
        <f t="shared" si="48"/>
        <v>794616365</v>
      </c>
      <c r="BE45" s="225">
        <f t="shared" si="48"/>
        <v>0</v>
      </c>
      <c r="BF45" s="220">
        <f t="shared" si="48"/>
        <v>16049140</v>
      </c>
    </row>
  </sheetData>
  <mergeCells count="2">
    <mergeCell ref="BE1:BF1"/>
    <mergeCell ref="BE2:BF2"/>
  </mergeCells>
  <printOptions horizontalCentered="1" verticalCentered="1"/>
  <pageMargins left="0.4724409448818898" right="0.4724409448818898" top="0.78" bottom="0.8" header="0.5" footer="0.25"/>
  <pageSetup horizontalDpi="300" verticalDpi="300" orientation="landscape" paperSize="9" scale="50" r:id="rId2"/>
  <headerFooter alignWithMargins="0">
    <oddHeader>&amp;LGPR-&amp;D&amp;C&amp;18INFORME EJECUCIÓN DE GASTOS - CUENTAS POR PAGAR&amp;RPág. &amp;P/&amp;N</oddHeader>
    <oddFooter xml:space="preserve">&amp;L&amp;16JORGE NELSON GAITÁN LEÓN
Jefe de Presupuesto&amp;C&amp;16MARTA LUCIA VILLEGAS BOTERO
Directora General &amp;R&amp;16JOSE LUIS ACERO COLMENARES 
Subdirector Financiero </oddFooter>
  </headerFooter>
  <rowBreaks count="1" manualBreakCount="1">
    <brk id="4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Z49"/>
  <sheetViews>
    <sheetView showGridLines="0" zoomScale="80" zoomScaleNormal="80" workbookViewId="0" topLeftCell="F1">
      <pane xSplit="2" ySplit="5" topLeftCell="H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H6" sqref="H6"/>
    </sheetView>
  </sheetViews>
  <sheetFormatPr defaultColWidth="17.7109375" defaultRowHeight="12.75"/>
  <cols>
    <col min="1" max="1" width="3.00390625" style="101" customWidth="1"/>
    <col min="2" max="2" width="4.7109375" style="101" customWidth="1"/>
    <col min="3" max="5" width="6.7109375" style="101" customWidth="1"/>
    <col min="6" max="6" width="4.7109375" style="101" customWidth="1"/>
    <col min="7" max="7" width="55.7109375" style="103" customWidth="1"/>
    <col min="8" max="8" width="17.7109375" style="98" customWidth="1"/>
    <col min="9" max="9" width="20.140625" style="98" customWidth="1"/>
    <col min="10" max="10" width="17.7109375" style="98" customWidth="1"/>
    <col min="11" max="16" width="17.7109375" style="98" hidden="1" customWidth="1"/>
    <col min="17" max="17" width="17.7109375" style="104" hidden="1" customWidth="1"/>
    <col min="18" max="21" width="17.7109375" style="98" hidden="1" customWidth="1"/>
    <col min="22" max="22" width="16.28125" style="98" customWidth="1"/>
    <col min="23" max="23" width="16.8515625" style="102" customWidth="1"/>
    <col min="24" max="29" width="17.7109375" style="98" hidden="1" customWidth="1"/>
    <col min="30" max="30" width="17.7109375" style="104" hidden="1" customWidth="1"/>
    <col min="31" max="34" width="17.7109375" style="98" hidden="1" customWidth="1"/>
    <col min="35" max="35" width="16.57421875" style="98" customWidth="1"/>
    <col min="36" max="36" width="16.28125" style="102" customWidth="1"/>
    <col min="37" max="42" width="17.7109375" style="98" hidden="1" customWidth="1"/>
    <col min="43" max="43" width="17.7109375" style="104" hidden="1" customWidth="1"/>
    <col min="44" max="47" width="17.7109375" style="98" hidden="1" customWidth="1"/>
    <col min="48" max="48" width="16.28125" style="98" customWidth="1"/>
    <col min="49" max="49" width="16.421875" style="102" customWidth="1"/>
    <col min="50" max="50" width="15.8515625" style="98" customWidth="1"/>
    <col min="51" max="51" width="16.57421875" style="98" customWidth="1"/>
    <col min="52" max="16384" width="17.7109375" style="98" customWidth="1"/>
  </cols>
  <sheetData>
    <row r="1" spans="1:52" ht="24" customHeight="1">
      <c r="A1" s="92"/>
      <c r="B1" s="107"/>
      <c r="C1" s="28"/>
      <c r="D1" s="107"/>
      <c r="E1" s="107"/>
      <c r="F1" s="107"/>
      <c r="G1" s="93"/>
      <c r="H1" s="230" t="s">
        <v>0</v>
      </c>
      <c r="I1" s="231" t="s">
        <v>1</v>
      </c>
      <c r="J1" s="234" t="s">
        <v>2</v>
      </c>
      <c r="K1" s="118" t="s">
        <v>3</v>
      </c>
      <c r="L1" s="119" t="s">
        <v>4</v>
      </c>
      <c r="M1" s="119" t="s">
        <v>5</v>
      </c>
      <c r="N1" s="119" t="s">
        <v>6</v>
      </c>
      <c r="O1" s="119" t="s">
        <v>7</v>
      </c>
      <c r="P1" s="119" t="s">
        <v>8</v>
      </c>
      <c r="Q1" s="120" t="s">
        <v>9</v>
      </c>
      <c r="R1" s="119" t="s">
        <v>10</v>
      </c>
      <c r="S1" s="119" t="s">
        <v>11</v>
      </c>
      <c r="T1" s="119" t="s">
        <v>12</v>
      </c>
      <c r="U1" s="119" t="s">
        <v>13</v>
      </c>
      <c r="V1" s="119" t="s">
        <v>14</v>
      </c>
      <c r="W1" s="259" t="s">
        <v>15</v>
      </c>
      <c r="X1" s="118" t="s">
        <v>3</v>
      </c>
      <c r="Y1" s="119" t="s">
        <v>4</v>
      </c>
      <c r="Z1" s="119" t="s">
        <v>5</v>
      </c>
      <c r="AA1" s="119" t="s">
        <v>6</v>
      </c>
      <c r="AB1" s="119" t="s">
        <v>7</v>
      </c>
      <c r="AC1" s="119" t="s">
        <v>8</v>
      </c>
      <c r="AD1" s="120" t="s">
        <v>9</v>
      </c>
      <c r="AE1" s="119" t="s">
        <v>10</v>
      </c>
      <c r="AF1" s="119" t="s">
        <v>11</v>
      </c>
      <c r="AG1" s="119" t="s">
        <v>12</v>
      </c>
      <c r="AH1" s="119" t="s">
        <v>13</v>
      </c>
      <c r="AI1" s="119" t="s">
        <v>14</v>
      </c>
      <c r="AJ1" s="259" t="s">
        <v>15</v>
      </c>
      <c r="AK1" s="118" t="s">
        <v>3</v>
      </c>
      <c r="AL1" s="191" t="s">
        <v>4</v>
      </c>
      <c r="AM1" s="191" t="s">
        <v>5</v>
      </c>
      <c r="AN1" s="191" t="s">
        <v>6</v>
      </c>
      <c r="AO1" s="191" t="s">
        <v>7</v>
      </c>
      <c r="AP1" s="191" t="s">
        <v>8</v>
      </c>
      <c r="AQ1" s="192" t="s">
        <v>9</v>
      </c>
      <c r="AR1" s="191" t="s">
        <v>10</v>
      </c>
      <c r="AS1" s="191" t="s">
        <v>11</v>
      </c>
      <c r="AT1" s="191" t="s">
        <v>12</v>
      </c>
      <c r="AU1" s="191" t="s">
        <v>13</v>
      </c>
      <c r="AV1" s="191" t="s">
        <v>14</v>
      </c>
      <c r="AW1" s="267" t="s">
        <v>15</v>
      </c>
      <c r="AX1" s="195" t="s">
        <v>16</v>
      </c>
      <c r="AY1" s="241"/>
      <c r="AZ1" s="196"/>
    </row>
    <row r="2" spans="1:52" ht="24" customHeight="1" thickBot="1">
      <c r="A2" s="94"/>
      <c r="B2" s="108"/>
      <c r="C2" s="5"/>
      <c r="D2" s="108"/>
      <c r="E2" s="108"/>
      <c r="F2" s="108"/>
      <c r="G2" s="95"/>
      <c r="H2" s="235" t="s">
        <v>17</v>
      </c>
      <c r="I2" s="236"/>
      <c r="J2" s="240" t="s">
        <v>18</v>
      </c>
      <c r="K2" s="121" t="s">
        <v>339</v>
      </c>
      <c r="L2" s="122" t="s">
        <v>339</v>
      </c>
      <c r="M2" s="122" t="s">
        <v>339</v>
      </c>
      <c r="N2" s="122" t="s">
        <v>339</v>
      </c>
      <c r="O2" s="122" t="s">
        <v>339</v>
      </c>
      <c r="P2" s="122" t="s">
        <v>339</v>
      </c>
      <c r="Q2" s="123" t="s">
        <v>339</v>
      </c>
      <c r="R2" s="122" t="s">
        <v>339</v>
      </c>
      <c r="S2" s="122" t="s">
        <v>339</v>
      </c>
      <c r="T2" s="122" t="s">
        <v>339</v>
      </c>
      <c r="U2" s="122" t="s">
        <v>339</v>
      </c>
      <c r="V2" s="122" t="s">
        <v>339</v>
      </c>
      <c r="W2" s="260" t="s">
        <v>339</v>
      </c>
      <c r="X2" s="121" t="s">
        <v>339</v>
      </c>
      <c r="Y2" s="122" t="s">
        <v>339</v>
      </c>
      <c r="Z2" s="122" t="s">
        <v>339</v>
      </c>
      <c r="AA2" s="122" t="s">
        <v>339</v>
      </c>
      <c r="AB2" s="122" t="s">
        <v>339</v>
      </c>
      <c r="AC2" s="122" t="s">
        <v>339</v>
      </c>
      <c r="AD2" s="123" t="s">
        <v>339</v>
      </c>
      <c r="AE2" s="122" t="s">
        <v>339</v>
      </c>
      <c r="AF2" s="122" t="s">
        <v>339</v>
      </c>
      <c r="AG2" s="122" t="s">
        <v>339</v>
      </c>
      <c r="AH2" s="122" t="s">
        <v>339</v>
      </c>
      <c r="AI2" s="122" t="s">
        <v>339</v>
      </c>
      <c r="AJ2" s="260" t="s">
        <v>339</v>
      </c>
      <c r="AK2" s="121" t="s">
        <v>339</v>
      </c>
      <c r="AL2" s="193" t="s">
        <v>339</v>
      </c>
      <c r="AM2" s="193" t="s">
        <v>339</v>
      </c>
      <c r="AN2" s="193" t="s">
        <v>339</v>
      </c>
      <c r="AO2" s="193" t="s">
        <v>339</v>
      </c>
      <c r="AP2" s="193" t="s">
        <v>339</v>
      </c>
      <c r="AQ2" s="194" t="s">
        <v>339</v>
      </c>
      <c r="AR2" s="193" t="s">
        <v>339</v>
      </c>
      <c r="AS2" s="193" t="s">
        <v>339</v>
      </c>
      <c r="AT2" s="193" t="s">
        <v>339</v>
      </c>
      <c r="AU2" s="193" t="s">
        <v>339</v>
      </c>
      <c r="AV2" s="193" t="s">
        <v>339</v>
      </c>
      <c r="AW2" s="268" t="s">
        <v>339</v>
      </c>
      <c r="AX2" s="197">
        <f ca="1">TODAY()</f>
        <v>37837</v>
      </c>
      <c r="AY2" s="242"/>
      <c r="AZ2" s="198"/>
    </row>
    <row r="3" spans="1:52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40"/>
      <c r="R3" s="36"/>
      <c r="S3" s="36"/>
      <c r="T3" s="36"/>
      <c r="U3" s="36"/>
      <c r="V3" s="36"/>
      <c r="W3" s="261"/>
      <c r="X3" s="36"/>
      <c r="Y3" s="36"/>
      <c r="Z3" s="36"/>
      <c r="AA3" s="36"/>
      <c r="AB3" s="36"/>
      <c r="AC3" s="36"/>
      <c r="AD3" s="40"/>
      <c r="AE3" s="36"/>
      <c r="AF3" s="36"/>
      <c r="AG3" s="36"/>
      <c r="AH3" s="36"/>
      <c r="AI3" s="36"/>
      <c r="AJ3" s="261"/>
      <c r="AK3" s="36"/>
      <c r="AL3" s="36"/>
      <c r="AM3" s="36"/>
      <c r="AN3" s="36"/>
      <c r="AO3" s="36"/>
      <c r="AP3" s="36"/>
      <c r="AQ3" s="40"/>
      <c r="AR3" s="36"/>
      <c r="AS3" s="36"/>
      <c r="AT3" s="36"/>
      <c r="AU3" s="36"/>
      <c r="AV3" s="36"/>
      <c r="AW3" s="261"/>
      <c r="AX3" s="36"/>
      <c r="AY3" s="36"/>
      <c r="AZ3" s="36"/>
    </row>
    <row r="4" spans="1:52" ht="12.75">
      <c r="A4" s="143" t="s">
        <v>96</v>
      </c>
      <c r="B4" s="144"/>
      <c r="C4" s="144"/>
      <c r="D4" s="144"/>
      <c r="E4" s="144"/>
      <c r="F4" s="144"/>
      <c r="G4" s="145"/>
      <c r="H4" s="147" t="s">
        <v>97</v>
      </c>
      <c r="I4" s="147" t="s">
        <v>98</v>
      </c>
      <c r="J4" s="148" t="s">
        <v>97</v>
      </c>
      <c r="K4" s="146" t="s">
        <v>99</v>
      </c>
      <c r="L4" s="149" t="s">
        <v>99</v>
      </c>
      <c r="M4" s="149" t="s">
        <v>99</v>
      </c>
      <c r="N4" s="149" t="s">
        <v>99</v>
      </c>
      <c r="O4" s="149" t="s">
        <v>99</v>
      </c>
      <c r="P4" s="149" t="s">
        <v>99</v>
      </c>
      <c r="Q4" s="150" t="s">
        <v>99</v>
      </c>
      <c r="R4" s="149" t="s">
        <v>99</v>
      </c>
      <c r="S4" s="149" t="s">
        <v>99</v>
      </c>
      <c r="T4" s="149" t="s">
        <v>99</v>
      </c>
      <c r="U4" s="149" t="s">
        <v>99</v>
      </c>
      <c r="V4" s="149" t="s">
        <v>99</v>
      </c>
      <c r="W4" s="262" t="s">
        <v>99</v>
      </c>
      <c r="X4" s="146" t="s">
        <v>100</v>
      </c>
      <c r="Y4" s="149" t="s">
        <v>100</v>
      </c>
      <c r="Z4" s="149" t="s">
        <v>100</v>
      </c>
      <c r="AA4" s="149" t="s">
        <v>100</v>
      </c>
      <c r="AB4" s="149" t="s">
        <v>100</v>
      </c>
      <c r="AC4" s="149" t="s">
        <v>100</v>
      </c>
      <c r="AD4" s="150" t="s">
        <v>100</v>
      </c>
      <c r="AE4" s="149" t="s">
        <v>100</v>
      </c>
      <c r="AF4" s="149" t="s">
        <v>100</v>
      </c>
      <c r="AG4" s="149" t="s">
        <v>100</v>
      </c>
      <c r="AH4" s="149" t="s">
        <v>100</v>
      </c>
      <c r="AI4" s="149" t="s">
        <v>100</v>
      </c>
      <c r="AJ4" s="262" t="s">
        <v>100</v>
      </c>
      <c r="AK4" s="146" t="s">
        <v>101</v>
      </c>
      <c r="AL4" s="170" t="s">
        <v>101</v>
      </c>
      <c r="AM4" s="170" t="s">
        <v>101</v>
      </c>
      <c r="AN4" s="170" t="s">
        <v>101</v>
      </c>
      <c r="AO4" s="170" t="s">
        <v>101</v>
      </c>
      <c r="AP4" s="170" t="s">
        <v>101</v>
      </c>
      <c r="AQ4" s="171" t="s">
        <v>101</v>
      </c>
      <c r="AR4" s="170" t="s">
        <v>101</v>
      </c>
      <c r="AS4" s="170" t="s">
        <v>101</v>
      </c>
      <c r="AT4" s="170" t="s">
        <v>101</v>
      </c>
      <c r="AU4" s="170" t="s">
        <v>101</v>
      </c>
      <c r="AV4" s="170" t="s">
        <v>101</v>
      </c>
      <c r="AW4" s="269" t="s">
        <v>101</v>
      </c>
      <c r="AX4" s="146" t="s">
        <v>24</v>
      </c>
      <c r="AY4" s="243" t="s">
        <v>102</v>
      </c>
      <c r="AZ4" s="148" t="s">
        <v>103</v>
      </c>
    </row>
    <row r="5" spans="1:52" ht="12.75">
      <c r="A5" s="151" t="s">
        <v>104</v>
      </c>
      <c r="B5" s="152" t="s">
        <v>105</v>
      </c>
      <c r="C5" s="153" t="s">
        <v>106</v>
      </c>
      <c r="D5" s="152" t="s">
        <v>107</v>
      </c>
      <c r="E5" s="152" t="s">
        <v>108</v>
      </c>
      <c r="F5" s="152" t="s">
        <v>109</v>
      </c>
      <c r="G5" s="154" t="s">
        <v>26</v>
      </c>
      <c r="H5" s="409" t="s">
        <v>28</v>
      </c>
      <c r="I5" s="410"/>
      <c r="J5" s="158" t="s">
        <v>111</v>
      </c>
      <c r="K5" s="155" t="s">
        <v>3</v>
      </c>
      <c r="L5" s="159" t="s">
        <v>4</v>
      </c>
      <c r="M5" s="159" t="s">
        <v>5</v>
      </c>
      <c r="N5" s="159" t="s">
        <v>6</v>
      </c>
      <c r="O5" s="159" t="s">
        <v>7</v>
      </c>
      <c r="P5" s="159" t="s">
        <v>8</v>
      </c>
      <c r="Q5" s="160" t="s">
        <v>9</v>
      </c>
      <c r="R5" s="159" t="s">
        <v>10</v>
      </c>
      <c r="S5" s="159" t="s">
        <v>11</v>
      </c>
      <c r="T5" s="159" t="s">
        <v>12</v>
      </c>
      <c r="U5" s="159" t="s">
        <v>13</v>
      </c>
      <c r="V5" s="159" t="s">
        <v>14</v>
      </c>
      <c r="W5" s="263" t="s">
        <v>32</v>
      </c>
      <c r="X5" s="155" t="s">
        <v>3</v>
      </c>
      <c r="Y5" s="159" t="s">
        <v>4</v>
      </c>
      <c r="Z5" s="159" t="s">
        <v>5</v>
      </c>
      <c r="AA5" s="159" t="s">
        <v>6</v>
      </c>
      <c r="AB5" s="159" t="s">
        <v>7</v>
      </c>
      <c r="AC5" s="159" t="s">
        <v>8</v>
      </c>
      <c r="AD5" s="160" t="s">
        <v>9</v>
      </c>
      <c r="AE5" s="159" t="s">
        <v>10</v>
      </c>
      <c r="AF5" s="159" t="s">
        <v>11</v>
      </c>
      <c r="AG5" s="159" t="s">
        <v>12</v>
      </c>
      <c r="AH5" s="159" t="s">
        <v>13</v>
      </c>
      <c r="AI5" s="159" t="s">
        <v>14</v>
      </c>
      <c r="AJ5" s="263" t="s">
        <v>32</v>
      </c>
      <c r="AK5" s="155" t="s">
        <v>3</v>
      </c>
      <c r="AL5" s="157" t="s">
        <v>4</v>
      </c>
      <c r="AM5" s="157" t="s">
        <v>5</v>
      </c>
      <c r="AN5" s="157" t="s">
        <v>6</v>
      </c>
      <c r="AO5" s="157" t="s">
        <v>7</v>
      </c>
      <c r="AP5" s="157" t="s">
        <v>8</v>
      </c>
      <c r="AQ5" s="169" t="s">
        <v>9</v>
      </c>
      <c r="AR5" s="157" t="s">
        <v>10</v>
      </c>
      <c r="AS5" s="157" t="s">
        <v>11</v>
      </c>
      <c r="AT5" s="157" t="s">
        <v>12</v>
      </c>
      <c r="AU5" s="157" t="s">
        <v>13</v>
      </c>
      <c r="AV5" s="157" t="s">
        <v>14</v>
      </c>
      <c r="AW5" s="270" t="s">
        <v>32</v>
      </c>
      <c r="AX5" s="155" t="s">
        <v>97</v>
      </c>
      <c r="AY5" s="244" t="s">
        <v>112</v>
      </c>
      <c r="AZ5" s="158" t="s">
        <v>113</v>
      </c>
    </row>
    <row r="6" spans="1:52" ht="13.5" thickBot="1">
      <c r="A6" s="161"/>
      <c r="B6" s="162"/>
      <c r="C6" s="162" t="s">
        <v>114</v>
      </c>
      <c r="D6" s="162" t="s">
        <v>115</v>
      </c>
      <c r="E6" s="162" t="s">
        <v>116</v>
      </c>
      <c r="F6" s="162"/>
      <c r="G6" s="163"/>
      <c r="H6" s="165" t="s">
        <v>34</v>
      </c>
      <c r="I6" s="165" t="s">
        <v>268</v>
      </c>
      <c r="J6" s="166" t="s">
        <v>122</v>
      </c>
      <c r="K6" s="164"/>
      <c r="L6" s="167"/>
      <c r="M6" s="167"/>
      <c r="N6" s="167"/>
      <c r="O6" s="167"/>
      <c r="P6" s="167"/>
      <c r="Q6" s="168"/>
      <c r="R6" s="167"/>
      <c r="S6" s="167"/>
      <c r="T6" s="167"/>
      <c r="U6" s="167"/>
      <c r="V6" s="167"/>
      <c r="W6" s="264" t="s">
        <v>126</v>
      </c>
      <c r="X6" s="164"/>
      <c r="Y6" s="167"/>
      <c r="Z6" s="167"/>
      <c r="AA6" s="167"/>
      <c r="AB6" s="167"/>
      <c r="AC6" s="167"/>
      <c r="AD6" s="168"/>
      <c r="AE6" s="167"/>
      <c r="AF6" s="167"/>
      <c r="AG6" s="167"/>
      <c r="AH6" s="167"/>
      <c r="AI6" s="167"/>
      <c r="AJ6" s="264" t="s">
        <v>38</v>
      </c>
      <c r="AK6" s="164"/>
      <c r="AL6" s="165"/>
      <c r="AM6" s="165"/>
      <c r="AN6" s="165"/>
      <c r="AO6" s="165"/>
      <c r="AP6" s="165"/>
      <c r="AQ6" s="172"/>
      <c r="AR6" s="165"/>
      <c r="AS6" s="165"/>
      <c r="AT6" s="165"/>
      <c r="AU6" s="165"/>
      <c r="AV6" s="165"/>
      <c r="AW6" s="271" t="s">
        <v>39</v>
      </c>
      <c r="AX6" s="164" t="s">
        <v>127</v>
      </c>
      <c r="AY6" s="245" t="s">
        <v>128</v>
      </c>
      <c r="AZ6" s="166" t="s">
        <v>129</v>
      </c>
    </row>
    <row r="7" spans="1:52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40"/>
      <c r="R7" s="36"/>
      <c r="S7" s="36"/>
      <c r="T7" s="36"/>
      <c r="U7" s="36"/>
      <c r="V7" s="36"/>
      <c r="W7" s="261"/>
      <c r="X7" s="36"/>
      <c r="Y7" s="36"/>
      <c r="Z7" s="36"/>
      <c r="AA7" s="36"/>
      <c r="AB7" s="36"/>
      <c r="AC7" s="36"/>
      <c r="AD7" s="40"/>
      <c r="AE7" s="36"/>
      <c r="AF7" s="36"/>
      <c r="AG7" s="36"/>
      <c r="AH7" s="36"/>
      <c r="AI7" s="36"/>
      <c r="AJ7" s="261"/>
      <c r="AK7" s="36"/>
      <c r="AL7" s="36"/>
      <c r="AM7" s="36"/>
      <c r="AN7" s="36"/>
      <c r="AO7" s="36"/>
      <c r="AP7" s="36"/>
      <c r="AQ7" s="40"/>
      <c r="AR7" s="36"/>
      <c r="AS7" s="36"/>
      <c r="AT7" s="36"/>
      <c r="AU7" s="36"/>
      <c r="AV7" s="36"/>
      <c r="AW7" s="261"/>
      <c r="AX7" s="36"/>
      <c r="AY7" s="36"/>
      <c r="AZ7" s="36"/>
    </row>
    <row r="8" spans="1:52" ht="13.5" thickBot="1">
      <c r="A8" s="124" t="s">
        <v>130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27"/>
      <c r="AS8" s="127"/>
      <c r="AT8" s="127"/>
      <c r="AU8" s="127"/>
      <c r="AV8" s="127"/>
      <c r="AW8" s="127"/>
      <c r="AX8" s="127"/>
      <c r="AY8" s="127"/>
      <c r="AZ8" s="129"/>
    </row>
    <row r="9" spans="1:52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40"/>
      <c r="R9" s="36"/>
      <c r="S9" s="36"/>
      <c r="T9" s="36"/>
      <c r="U9" s="36"/>
      <c r="V9" s="36"/>
      <c r="W9" s="261"/>
      <c r="X9" s="36"/>
      <c r="Y9" s="36"/>
      <c r="Z9" s="36"/>
      <c r="AA9" s="36"/>
      <c r="AB9" s="36"/>
      <c r="AC9" s="36"/>
      <c r="AD9" s="40"/>
      <c r="AE9" s="36"/>
      <c r="AF9" s="36"/>
      <c r="AG9" s="36"/>
      <c r="AH9" s="36"/>
      <c r="AI9" s="36"/>
      <c r="AJ9" s="261"/>
      <c r="AK9" s="36"/>
      <c r="AL9" s="36"/>
      <c r="AM9" s="36"/>
      <c r="AN9" s="36"/>
      <c r="AO9" s="36"/>
      <c r="AP9" s="36"/>
      <c r="AQ9" s="40"/>
      <c r="AR9" s="36"/>
      <c r="AS9" s="36"/>
      <c r="AT9" s="36"/>
      <c r="AU9" s="36"/>
      <c r="AV9" s="36"/>
      <c r="AW9" s="261"/>
      <c r="AX9" s="36"/>
      <c r="AY9" s="36"/>
      <c r="AZ9" s="36"/>
    </row>
    <row r="10" spans="1:52" s="102" customFormat="1" ht="21" customHeight="1" thickBot="1">
      <c r="A10" s="175" t="s">
        <v>131</v>
      </c>
      <c r="B10" s="176" t="s">
        <v>132</v>
      </c>
      <c r="C10" s="176" t="s">
        <v>132</v>
      </c>
      <c r="D10" s="176" t="s">
        <v>132</v>
      </c>
      <c r="E10" s="176" t="s">
        <v>132</v>
      </c>
      <c r="F10" s="176"/>
      <c r="G10" s="177" t="s">
        <v>133</v>
      </c>
      <c r="H10" s="178">
        <f>H11+H13</f>
        <v>320956140</v>
      </c>
      <c r="I10" s="179">
        <f>I11+I13</f>
        <v>0</v>
      </c>
      <c r="J10" s="180">
        <f aca="true" t="shared" si="0" ref="J10:J15">SUM(H10:I10)</f>
        <v>320956140</v>
      </c>
      <c r="K10" s="178">
        <f aca="true" t="shared" si="1" ref="K10:V10">K11+K13</f>
        <v>320956140</v>
      </c>
      <c r="L10" s="179">
        <f t="shared" si="1"/>
        <v>0</v>
      </c>
      <c r="M10" s="179">
        <f t="shared" si="1"/>
        <v>0</v>
      </c>
      <c r="N10" s="179">
        <f t="shared" si="1"/>
        <v>0</v>
      </c>
      <c r="O10" s="179">
        <f t="shared" si="1"/>
        <v>0</v>
      </c>
      <c r="P10" s="179">
        <f t="shared" si="1"/>
        <v>0</v>
      </c>
      <c r="Q10" s="181">
        <f t="shared" si="1"/>
        <v>0</v>
      </c>
      <c r="R10" s="179">
        <f t="shared" si="1"/>
        <v>0</v>
      </c>
      <c r="S10" s="179">
        <f t="shared" si="1"/>
        <v>0</v>
      </c>
      <c r="T10" s="179">
        <f t="shared" si="1"/>
        <v>0</v>
      </c>
      <c r="U10" s="179">
        <f t="shared" si="1"/>
        <v>0</v>
      </c>
      <c r="V10" s="179">
        <f t="shared" si="1"/>
        <v>0</v>
      </c>
      <c r="W10" s="180">
        <f aca="true" t="shared" si="2" ref="W10:W15">SUM(K10:V10)</f>
        <v>320956140</v>
      </c>
      <c r="X10" s="178">
        <f>X11+X13</f>
        <v>23796492</v>
      </c>
      <c r="Y10" s="179">
        <f aca="true" t="shared" si="3" ref="Y10:AI10">Y11+Y13</f>
        <v>155482380</v>
      </c>
      <c r="Z10" s="179">
        <f t="shared" si="3"/>
        <v>53433093</v>
      </c>
      <c r="AA10" s="179">
        <f t="shared" si="3"/>
        <v>42551300</v>
      </c>
      <c r="AB10" s="179">
        <f t="shared" si="3"/>
        <v>19552368</v>
      </c>
      <c r="AC10" s="179">
        <f t="shared" si="3"/>
        <v>180673</v>
      </c>
      <c r="AD10" s="181">
        <f t="shared" si="3"/>
        <v>0</v>
      </c>
      <c r="AE10" s="179">
        <f t="shared" si="3"/>
        <v>1434290</v>
      </c>
      <c r="AF10" s="179">
        <f t="shared" si="3"/>
        <v>0</v>
      </c>
      <c r="AG10" s="179">
        <f t="shared" si="3"/>
        <v>0</v>
      </c>
      <c r="AH10" s="179">
        <f t="shared" si="3"/>
        <v>0</v>
      </c>
      <c r="AI10" s="179">
        <f t="shared" si="3"/>
        <v>9744</v>
      </c>
      <c r="AJ10" s="180">
        <f aca="true" t="shared" si="4" ref="AJ10:AJ15">SUM(X10:AI10)</f>
        <v>296440340</v>
      </c>
      <c r="AK10" s="178">
        <f aca="true" t="shared" si="5" ref="AK10:AV10">AK11+AK13</f>
        <v>23796492</v>
      </c>
      <c r="AL10" s="179">
        <f t="shared" si="5"/>
        <v>155482380</v>
      </c>
      <c r="AM10" s="179">
        <f t="shared" si="5"/>
        <v>53433093</v>
      </c>
      <c r="AN10" s="179">
        <f t="shared" si="5"/>
        <v>42551300</v>
      </c>
      <c r="AO10" s="179">
        <f t="shared" si="5"/>
        <v>19552368</v>
      </c>
      <c r="AP10" s="179">
        <f t="shared" si="5"/>
        <v>180673</v>
      </c>
      <c r="AQ10" s="181">
        <f t="shared" si="5"/>
        <v>0</v>
      </c>
      <c r="AR10" s="179">
        <f t="shared" si="5"/>
        <v>1434290</v>
      </c>
      <c r="AS10" s="179">
        <f t="shared" si="5"/>
        <v>0</v>
      </c>
      <c r="AT10" s="179">
        <f t="shared" si="5"/>
        <v>0</v>
      </c>
      <c r="AU10" s="179">
        <f t="shared" si="5"/>
        <v>0</v>
      </c>
      <c r="AV10" s="179">
        <f t="shared" si="5"/>
        <v>9744</v>
      </c>
      <c r="AW10" s="180">
        <f aca="true" t="shared" si="6" ref="AW10:AW15">SUM(AK10:AV10)</f>
        <v>296440340</v>
      </c>
      <c r="AX10" s="178">
        <f aca="true" t="shared" si="7" ref="AX10:AX15">J10-W10</f>
        <v>0</v>
      </c>
      <c r="AY10" s="246">
        <f aca="true" t="shared" si="8" ref="AY10:AY15">W10-AJ10</f>
        <v>24515800</v>
      </c>
      <c r="AZ10" s="180">
        <f aca="true" t="shared" si="9" ref="AZ10:AZ15">AJ10-AW10</f>
        <v>0</v>
      </c>
    </row>
    <row r="11" spans="1:52" s="102" customFormat="1" ht="21" customHeight="1">
      <c r="A11" s="182" t="s">
        <v>131</v>
      </c>
      <c r="B11" s="183" t="s">
        <v>134</v>
      </c>
      <c r="C11" s="184" t="s">
        <v>135</v>
      </c>
      <c r="D11" s="183" t="s">
        <v>132</v>
      </c>
      <c r="E11" s="183" t="s">
        <v>132</v>
      </c>
      <c r="F11" s="183"/>
      <c r="G11" s="185" t="s">
        <v>136</v>
      </c>
      <c r="H11" s="186">
        <f>SUM(H12:H12)</f>
        <v>131654451</v>
      </c>
      <c r="I11" s="187">
        <f>SUM(I12:I12)</f>
        <v>0</v>
      </c>
      <c r="J11" s="188">
        <f t="shared" si="0"/>
        <v>131654451</v>
      </c>
      <c r="K11" s="186">
        <f aca="true" t="shared" si="10" ref="K11:V11">SUM(K12:K12)</f>
        <v>131654451</v>
      </c>
      <c r="L11" s="187">
        <f t="shared" si="10"/>
        <v>0</v>
      </c>
      <c r="M11" s="187">
        <f t="shared" si="10"/>
        <v>0</v>
      </c>
      <c r="N11" s="187">
        <f t="shared" si="10"/>
        <v>0</v>
      </c>
      <c r="O11" s="187">
        <f t="shared" si="10"/>
        <v>0</v>
      </c>
      <c r="P11" s="187">
        <f t="shared" si="10"/>
        <v>0</v>
      </c>
      <c r="Q11" s="189">
        <f t="shared" si="10"/>
        <v>0</v>
      </c>
      <c r="R11" s="187">
        <f t="shared" si="10"/>
        <v>0</v>
      </c>
      <c r="S11" s="187">
        <f t="shared" si="10"/>
        <v>0</v>
      </c>
      <c r="T11" s="187">
        <f t="shared" si="10"/>
        <v>0</v>
      </c>
      <c r="U11" s="187">
        <f t="shared" si="10"/>
        <v>0</v>
      </c>
      <c r="V11" s="187">
        <f t="shared" si="10"/>
        <v>0</v>
      </c>
      <c r="W11" s="188">
        <f t="shared" si="2"/>
        <v>131654451</v>
      </c>
      <c r="X11" s="186">
        <f>SUM(X12:X12)</f>
        <v>15245184</v>
      </c>
      <c r="Y11" s="187">
        <f aca="true" t="shared" si="11" ref="Y11:AI11">SUM(Y12:Y12)</f>
        <v>22600783</v>
      </c>
      <c r="Z11" s="187">
        <f t="shared" si="11"/>
        <v>40901953</v>
      </c>
      <c r="AA11" s="187">
        <f t="shared" si="11"/>
        <v>15425805</v>
      </c>
      <c r="AB11" s="187">
        <f t="shared" si="11"/>
        <v>17159764</v>
      </c>
      <c r="AC11" s="187">
        <f t="shared" si="11"/>
        <v>180673</v>
      </c>
      <c r="AD11" s="189">
        <f t="shared" si="11"/>
        <v>0</v>
      </c>
      <c r="AE11" s="187">
        <f t="shared" si="11"/>
        <v>0</v>
      </c>
      <c r="AF11" s="187">
        <f t="shared" si="11"/>
        <v>0</v>
      </c>
      <c r="AG11" s="187">
        <f t="shared" si="11"/>
        <v>0</v>
      </c>
      <c r="AH11" s="187">
        <f t="shared" si="11"/>
        <v>0</v>
      </c>
      <c r="AI11" s="187">
        <f t="shared" si="11"/>
        <v>0</v>
      </c>
      <c r="AJ11" s="188">
        <f t="shared" si="4"/>
        <v>111514162</v>
      </c>
      <c r="AK11" s="186">
        <f aca="true" t="shared" si="12" ref="AK11:AV11">SUM(AK12:AK12)</f>
        <v>15245184</v>
      </c>
      <c r="AL11" s="187">
        <f t="shared" si="12"/>
        <v>22600783</v>
      </c>
      <c r="AM11" s="187">
        <f t="shared" si="12"/>
        <v>40901953</v>
      </c>
      <c r="AN11" s="187">
        <f t="shared" si="12"/>
        <v>15425805</v>
      </c>
      <c r="AO11" s="187">
        <f t="shared" si="12"/>
        <v>17159764</v>
      </c>
      <c r="AP11" s="187">
        <f t="shared" si="12"/>
        <v>180673</v>
      </c>
      <c r="AQ11" s="189">
        <f t="shared" si="12"/>
        <v>0</v>
      </c>
      <c r="AR11" s="187">
        <f t="shared" si="12"/>
        <v>0</v>
      </c>
      <c r="AS11" s="187">
        <f t="shared" si="12"/>
        <v>0</v>
      </c>
      <c r="AT11" s="187">
        <f t="shared" si="12"/>
        <v>0</v>
      </c>
      <c r="AU11" s="187">
        <f t="shared" si="12"/>
        <v>0</v>
      </c>
      <c r="AV11" s="187">
        <f t="shared" si="12"/>
        <v>0</v>
      </c>
      <c r="AW11" s="188">
        <f t="shared" si="6"/>
        <v>111514162</v>
      </c>
      <c r="AX11" s="272">
        <f t="shared" si="7"/>
        <v>0</v>
      </c>
      <c r="AY11" s="273">
        <f t="shared" si="8"/>
        <v>20140289</v>
      </c>
      <c r="AZ11" s="274">
        <f t="shared" si="9"/>
        <v>0</v>
      </c>
    </row>
    <row r="12" spans="1:52" ht="21" customHeight="1">
      <c r="A12" s="136" t="s">
        <v>131</v>
      </c>
      <c r="B12" s="130" t="s">
        <v>134</v>
      </c>
      <c r="C12" s="130" t="s">
        <v>137</v>
      </c>
      <c r="D12" s="130" t="s">
        <v>140</v>
      </c>
      <c r="E12" s="130" t="s">
        <v>148</v>
      </c>
      <c r="F12" s="130" t="s">
        <v>138</v>
      </c>
      <c r="G12" s="131" t="s">
        <v>149</v>
      </c>
      <c r="H12" s="173">
        <v>131654451</v>
      </c>
      <c r="I12" s="132">
        <v>0</v>
      </c>
      <c r="J12" s="257">
        <f t="shared" si="0"/>
        <v>131654451</v>
      </c>
      <c r="K12" s="173">
        <v>131654451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3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257">
        <f t="shared" si="2"/>
        <v>131654451</v>
      </c>
      <c r="X12" s="173">
        <f aca="true" t="shared" si="13" ref="X12:AI12">AK12</f>
        <v>15245184</v>
      </c>
      <c r="Y12" s="132">
        <f t="shared" si="13"/>
        <v>22600783</v>
      </c>
      <c r="Z12" s="132">
        <f t="shared" si="13"/>
        <v>40901953</v>
      </c>
      <c r="AA12" s="132">
        <f t="shared" si="13"/>
        <v>15425805</v>
      </c>
      <c r="AB12" s="132">
        <f t="shared" si="13"/>
        <v>17159764</v>
      </c>
      <c r="AC12" s="132">
        <f t="shared" si="13"/>
        <v>180673</v>
      </c>
      <c r="AD12" s="133">
        <f t="shared" si="13"/>
        <v>0</v>
      </c>
      <c r="AE12" s="132">
        <f t="shared" si="13"/>
        <v>0</v>
      </c>
      <c r="AF12" s="132">
        <f t="shared" si="13"/>
        <v>0</v>
      </c>
      <c r="AG12" s="132">
        <f t="shared" si="13"/>
        <v>0</v>
      </c>
      <c r="AH12" s="132">
        <f t="shared" si="13"/>
        <v>0</v>
      </c>
      <c r="AI12" s="132">
        <f t="shared" si="13"/>
        <v>0</v>
      </c>
      <c r="AJ12" s="257">
        <f t="shared" si="4"/>
        <v>111514162</v>
      </c>
      <c r="AK12" s="173">
        <v>15245184</v>
      </c>
      <c r="AL12" s="132">
        <v>22600783</v>
      </c>
      <c r="AM12" s="132">
        <v>40901953</v>
      </c>
      <c r="AN12" s="132">
        <v>15425805</v>
      </c>
      <c r="AO12" s="132">
        <v>17159764</v>
      </c>
      <c r="AP12" s="132">
        <v>180673</v>
      </c>
      <c r="AQ12" s="133">
        <v>0</v>
      </c>
      <c r="AR12" s="132">
        <v>0</v>
      </c>
      <c r="AS12" s="132">
        <v>0</v>
      </c>
      <c r="AT12" s="132">
        <v>0</v>
      </c>
      <c r="AU12" s="132">
        <v>0</v>
      </c>
      <c r="AV12" s="132"/>
      <c r="AW12" s="257">
        <f t="shared" si="6"/>
        <v>111514162</v>
      </c>
      <c r="AX12" s="275">
        <f t="shared" si="7"/>
        <v>0</v>
      </c>
      <c r="AY12" s="276">
        <f t="shared" si="8"/>
        <v>20140289</v>
      </c>
      <c r="AZ12" s="277">
        <f t="shared" si="9"/>
        <v>0</v>
      </c>
    </row>
    <row r="13" spans="1:52" s="102" customFormat="1" ht="21" customHeight="1">
      <c r="A13" s="182" t="s">
        <v>131</v>
      </c>
      <c r="B13" s="183" t="s">
        <v>134</v>
      </c>
      <c r="C13" s="184" t="s">
        <v>140</v>
      </c>
      <c r="D13" s="183" t="s">
        <v>132</v>
      </c>
      <c r="E13" s="183" t="s">
        <v>132</v>
      </c>
      <c r="F13" s="183"/>
      <c r="G13" s="185" t="s">
        <v>154</v>
      </c>
      <c r="H13" s="186">
        <f>SUM(H14:H15)</f>
        <v>189301689</v>
      </c>
      <c r="I13" s="187">
        <f>SUM(I14:I15)</f>
        <v>0</v>
      </c>
      <c r="J13" s="188">
        <f t="shared" si="0"/>
        <v>189301689</v>
      </c>
      <c r="K13" s="186">
        <f aca="true" t="shared" si="14" ref="K13:V13">SUM(K14:K15)</f>
        <v>189301689</v>
      </c>
      <c r="L13" s="187">
        <f t="shared" si="14"/>
        <v>0</v>
      </c>
      <c r="M13" s="187">
        <f t="shared" si="14"/>
        <v>0</v>
      </c>
      <c r="N13" s="187">
        <f t="shared" si="14"/>
        <v>0</v>
      </c>
      <c r="O13" s="187">
        <f t="shared" si="14"/>
        <v>0</v>
      </c>
      <c r="P13" s="187">
        <f t="shared" si="14"/>
        <v>0</v>
      </c>
      <c r="Q13" s="189">
        <f t="shared" si="14"/>
        <v>0</v>
      </c>
      <c r="R13" s="187">
        <f t="shared" si="14"/>
        <v>0</v>
      </c>
      <c r="S13" s="187">
        <f t="shared" si="14"/>
        <v>0</v>
      </c>
      <c r="T13" s="187">
        <f t="shared" si="14"/>
        <v>0</v>
      </c>
      <c r="U13" s="187">
        <f t="shared" si="14"/>
        <v>0</v>
      </c>
      <c r="V13" s="187">
        <f t="shared" si="14"/>
        <v>0</v>
      </c>
      <c r="W13" s="188">
        <f t="shared" si="2"/>
        <v>189301689</v>
      </c>
      <c r="X13" s="186">
        <f>SUM(X14:X15)</f>
        <v>8551308</v>
      </c>
      <c r="Y13" s="187">
        <f aca="true" t="shared" si="15" ref="Y13:AI13">SUM(Y14:Y15)</f>
        <v>132881597</v>
      </c>
      <c r="Z13" s="187">
        <f t="shared" si="15"/>
        <v>12531140</v>
      </c>
      <c r="AA13" s="187">
        <f t="shared" si="15"/>
        <v>27125495</v>
      </c>
      <c r="AB13" s="187">
        <f t="shared" si="15"/>
        <v>2392604</v>
      </c>
      <c r="AC13" s="187">
        <f t="shared" si="15"/>
        <v>0</v>
      </c>
      <c r="AD13" s="189">
        <f t="shared" si="15"/>
        <v>0</v>
      </c>
      <c r="AE13" s="187">
        <f t="shared" si="15"/>
        <v>1434290</v>
      </c>
      <c r="AF13" s="187">
        <f t="shared" si="15"/>
        <v>0</v>
      </c>
      <c r="AG13" s="187">
        <f t="shared" si="15"/>
        <v>0</v>
      </c>
      <c r="AH13" s="187">
        <f t="shared" si="15"/>
        <v>0</v>
      </c>
      <c r="AI13" s="187">
        <f t="shared" si="15"/>
        <v>9744</v>
      </c>
      <c r="AJ13" s="188">
        <f t="shared" si="4"/>
        <v>184926178</v>
      </c>
      <c r="AK13" s="186">
        <f aca="true" t="shared" si="16" ref="AK13:AV13">SUM(AK14:AK15)</f>
        <v>8551308</v>
      </c>
      <c r="AL13" s="187">
        <f t="shared" si="16"/>
        <v>132881597</v>
      </c>
      <c r="AM13" s="187">
        <f t="shared" si="16"/>
        <v>12531140</v>
      </c>
      <c r="AN13" s="187">
        <f t="shared" si="16"/>
        <v>27125495</v>
      </c>
      <c r="AO13" s="187">
        <f t="shared" si="16"/>
        <v>2392604</v>
      </c>
      <c r="AP13" s="187">
        <f t="shared" si="16"/>
        <v>0</v>
      </c>
      <c r="AQ13" s="189">
        <f t="shared" si="16"/>
        <v>0</v>
      </c>
      <c r="AR13" s="187">
        <f t="shared" si="16"/>
        <v>1434290</v>
      </c>
      <c r="AS13" s="187">
        <f t="shared" si="16"/>
        <v>0</v>
      </c>
      <c r="AT13" s="187">
        <f t="shared" si="16"/>
        <v>0</v>
      </c>
      <c r="AU13" s="187">
        <f t="shared" si="16"/>
        <v>0</v>
      </c>
      <c r="AV13" s="187">
        <f t="shared" si="16"/>
        <v>9744</v>
      </c>
      <c r="AW13" s="188">
        <f t="shared" si="6"/>
        <v>184926178</v>
      </c>
      <c r="AX13" s="272">
        <f t="shared" si="7"/>
        <v>0</v>
      </c>
      <c r="AY13" s="273">
        <f t="shared" si="8"/>
        <v>4375511</v>
      </c>
      <c r="AZ13" s="274">
        <f t="shared" si="9"/>
        <v>0</v>
      </c>
    </row>
    <row r="14" spans="1:52" ht="21" customHeight="1">
      <c r="A14" s="136" t="s">
        <v>131</v>
      </c>
      <c r="B14" s="130" t="s">
        <v>134</v>
      </c>
      <c r="C14" s="130" t="s">
        <v>155</v>
      </c>
      <c r="D14" s="130" t="s">
        <v>135</v>
      </c>
      <c r="E14" s="130" t="s">
        <v>132</v>
      </c>
      <c r="F14" s="130" t="s">
        <v>192</v>
      </c>
      <c r="G14" s="131" t="s">
        <v>156</v>
      </c>
      <c r="H14" s="173">
        <v>78881531</v>
      </c>
      <c r="I14" s="132">
        <v>0</v>
      </c>
      <c r="J14" s="257">
        <f t="shared" si="0"/>
        <v>78881531</v>
      </c>
      <c r="K14" s="173">
        <v>78881531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3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257">
        <f t="shared" si="2"/>
        <v>78881531</v>
      </c>
      <c r="X14" s="173">
        <f aca="true" t="shared" si="17" ref="X14:AI15">AK14</f>
        <v>4944790</v>
      </c>
      <c r="Y14" s="132">
        <f t="shared" si="17"/>
        <v>44454428</v>
      </c>
      <c r="Z14" s="132">
        <f t="shared" si="17"/>
        <v>10271245</v>
      </c>
      <c r="AA14" s="132">
        <f t="shared" si="17"/>
        <v>19146932</v>
      </c>
      <c r="AB14" s="132">
        <f t="shared" si="17"/>
        <v>0</v>
      </c>
      <c r="AC14" s="132">
        <f t="shared" si="17"/>
        <v>0</v>
      </c>
      <c r="AD14" s="133">
        <f t="shared" si="17"/>
        <v>0</v>
      </c>
      <c r="AE14" s="132">
        <f t="shared" si="17"/>
        <v>0</v>
      </c>
      <c r="AF14" s="132">
        <f t="shared" si="17"/>
        <v>0</v>
      </c>
      <c r="AG14" s="132">
        <f t="shared" si="17"/>
        <v>0</v>
      </c>
      <c r="AH14" s="132">
        <f t="shared" si="17"/>
        <v>0</v>
      </c>
      <c r="AI14" s="132">
        <f t="shared" si="17"/>
        <v>9744</v>
      </c>
      <c r="AJ14" s="257">
        <f t="shared" si="4"/>
        <v>78827139</v>
      </c>
      <c r="AK14" s="173">
        <v>4944790</v>
      </c>
      <c r="AL14" s="132">
        <v>44454428</v>
      </c>
      <c r="AM14" s="132">
        <v>10271245</v>
      </c>
      <c r="AN14" s="132">
        <v>19146932</v>
      </c>
      <c r="AO14" s="132">
        <v>0</v>
      </c>
      <c r="AP14" s="132">
        <v>0</v>
      </c>
      <c r="AQ14" s="133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9744</v>
      </c>
      <c r="AW14" s="257">
        <f t="shared" si="6"/>
        <v>78827139</v>
      </c>
      <c r="AX14" s="275">
        <f t="shared" si="7"/>
        <v>0</v>
      </c>
      <c r="AY14" s="276">
        <f t="shared" si="8"/>
        <v>54392</v>
      </c>
      <c r="AZ14" s="277">
        <f t="shared" si="9"/>
        <v>0</v>
      </c>
    </row>
    <row r="15" spans="1:52" ht="21" customHeight="1" thickBot="1">
      <c r="A15" s="137" t="s">
        <v>131</v>
      </c>
      <c r="B15" s="138" t="s">
        <v>134</v>
      </c>
      <c r="C15" s="138" t="s">
        <v>155</v>
      </c>
      <c r="D15" s="138" t="s">
        <v>140</v>
      </c>
      <c r="E15" s="138" t="s">
        <v>132</v>
      </c>
      <c r="F15" s="138" t="s">
        <v>192</v>
      </c>
      <c r="G15" s="190" t="s">
        <v>157</v>
      </c>
      <c r="H15" s="174">
        <v>110420158</v>
      </c>
      <c r="I15" s="141">
        <v>0</v>
      </c>
      <c r="J15" s="258">
        <f t="shared" si="0"/>
        <v>110420158</v>
      </c>
      <c r="K15" s="174">
        <v>110420158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258">
        <f t="shared" si="2"/>
        <v>110420158</v>
      </c>
      <c r="X15" s="174">
        <f t="shared" si="17"/>
        <v>3606518</v>
      </c>
      <c r="Y15" s="141">
        <f t="shared" si="17"/>
        <v>88427169</v>
      </c>
      <c r="Z15" s="141">
        <f t="shared" si="17"/>
        <v>2259895</v>
      </c>
      <c r="AA15" s="141">
        <f t="shared" si="17"/>
        <v>7978563</v>
      </c>
      <c r="AB15" s="141">
        <f t="shared" si="17"/>
        <v>2392604</v>
      </c>
      <c r="AC15" s="141">
        <f t="shared" si="17"/>
        <v>0</v>
      </c>
      <c r="AD15" s="142">
        <f t="shared" si="17"/>
        <v>0</v>
      </c>
      <c r="AE15" s="141">
        <f t="shared" si="17"/>
        <v>1434290</v>
      </c>
      <c r="AF15" s="141">
        <f t="shared" si="17"/>
        <v>0</v>
      </c>
      <c r="AG15" s="141">
        <f t="shared" si="17"/>
        <v>0</v>
      </c>
      <c r="AH15" s="141">
        <f t="shared" si="17"/>
        <v>0</v>
      </c>
      <c r="AI15" s="141">
        <f t="shared" si="17"/>
        <v>0</v>
      </c>
      <c r="AJ15" s="258">
        <f t="shared" si="4"/>
        <v>106099039</v>
      </c>
      <c r="AK15" s="174">
        <v>3606518</v>
      </c>
      <c r="AL15" s="141">
        <v>88427169</v>
      </c>
      <c r="AM15" s="141">
        <v>2259895</v>
      </c>
      <c r="AN15" s="141">
        <v>7978563</v>
      </c>
      <c r="AO15" s="141">
        <v>2392604</v>
      </c>
      <c r="AP15" s="142">
        <v>0</v>
      </c>
      <c r="AQ15" s="142">
        <v>0</v>
      </c>
      <c r="AR15" s="141">
        <v>1434290</v>
      </c>
      <c r="AS15" s="141">
        <v>0</v>
      </c>
      <c r="AT15" s="141">
        <v>0</v>
      </c>
      <c r="AU15" s="141">
        <v>0</v>
      </c>
      <c r="AV15" s="141"/>
      <c r="AW15" s="258">
        <f t="shared" si="6"/>
        <v>106099039</v>
      </c>
      <c r="AX15" s="278">
        <f t="shared" si="7"/>
        <v>0</v>
      </c>
      <c r="AY15" s="279">
        <f t="shared" si="8"/>
        <v>4321119</v>
      </c>
      <c r="AZ15" s="280">
        <f t="shared" si="9"/>
        <v>0</v>
      </c>
    </row>
    <row r="16" spans="1:52" ht="13.5" thickBot="1">
      <c r="A16" s="38"/>
      <c r="B16" s="38"/>
      <c r="C16" s="38"/>
      <c r="D16" s="38"/>
      <c r="E16" s="38"/>
      <c r="F16" s="38"/>
      <c r="G16" s="39"/>
      <c r="H16" s="36"/>
      <c r="I16" s="36"/>
      <c r="J16" s="36"/>
      <c r="K16" s="36"/>
      <c r="L16" s="36"/>
      <c r="M16" s="36"/>
      <c r="N16" s="36"/>
      <c r="O16" s="36"/>
      <c r="P16" s="36"/>
      <c r="Q16" s="40"/>
      <c r="R16" s="36"/>
      <c r="S16" s="36"/>
      <c r="T16" s="36"/>
      <c r="U16" s="36"/>
      <c r="V16" s="36"/>
      <c r="W16" s="261"/>
      <c r="X16" s="36"/>
      <c r="Y16" s="36"/>
      <c r="Z16" s="36"/>
      <c r="AA16" s="36"/>
      <c r="AB16" s="36"/>
      <c r="AC16" s="36"/>
      <c r="AD16" s="40"/>
      <c r="AE16" s="36"/>
      <c r="AF16" s="36"/>
      <c r="AG16" s="36"/>
      <c r="AH16" s="36"/>
      <c r="AI16" s="36"/>
      <c r="AJ16" s="261"/>
      <c r="AK16" s="36"/>
      <c r="AL16" s="36"/>
      <c r="AM16" s="36"/>
      <c r="AN16" s="36"/>
      <c r="AO16" s="36"/>
      <c r="AP16" s="36"/>
      <c r="AQ16" s="40"/>
      <c r="AR16" s="36"/>
      <c r="AS16" s="36"/>
      <c r="AT16" s="36"/>
      <c r="AU16" s="36"/>
      <c r="AV16" s="36"/>
      <c r="AW16" s="261"/>
      <c r="AX16" s="36"/>
      <c r="AY16" s="36"/>
      <c r="AZ16" s="36"/>
    </row>
    <row r="17" spans="1:52" ht="13.5" thickBot="1">
      <c r="A17" s="175" t="s">
        <v>174</v>
      </c>
      <c r="B17" s="176"/>
      <c r="C17" s="176"/>
      <c r="D17" s="176"/>
      <c r="E17" s="176"/>
      <c r="F17" s="176"/>
      <c r="G17" s="177" t="s">
        <v>175</v>
      </c>
      <c r="H17" s="178">
        <f aca="true" t="shared" si="18" ref="H17:X17">H21+H33</f>
        <v>12093540636</v>
      </c>
      <c r="I17" s="179">
        <f t="shared" si="18"/>
        <v>0</v>
      </c>
      <c r="J17" s="180">
        <f t="shared" si="18"/>
        <v>12093540636</v>
      </c>
      <c r="K17" s="178">
        <f t="shared" si="18"/>
        <v>12093540636</v>
      </c>
      <c r="L17" s="179">
        <f t="shared" si="18"/>
        <v>0</v>
      </c>
      <c r="M17" s="179">
        <f t="shared" si="18"/>
        <v>0</v>
      </c>
      <c r="N17" s="179">
        <f t="shared" si="18"/>
        <v>0</v>
      </c>
      <c r="O17" s="179">
        <f t="shared" si="18"/>
        <v>0</v>
      </c>
      <c r="P17" s="179">
        <f t="shared" si="18"/>
        <v>0</v>
      </c>
      <c r="Q17" s="181">
        <f t="shared" si="18"/>
        <v>0</v>
      </c>
      <c r="R17" s="179">
        <f t="shared" si="18"/>
        <v>0</v>
      </c>
      <c r="S17" s="179">
        <f t="shared" si="18"/>
        <v>0</v>
      </c>
      <c r="T17" s="179">
        <f t="shared" si="18"/>
        <v>0</v>
      </c>
      <c r="U17" s="179">
        <f t="shared" si="18"/>
        <v>0</v>
      </c>
      <c r="V17" s="179">
        <f t="shared" si="18"/>
        <v>0</v>
      </c>
      <c r="W17" s="180">
        <f t="shared" si="18"/>
        <v>12093540636</v>
      </c>
      <c r="X17" s="178">
        <f t="shared" si="18"/>
        <v>0</v>
      </c>
      <c r="Y17" s="179">
        <f aca="true" t="shared" si="19" ref="Y17:AI17">Y21+Y33</f>
        <v>4927215976</v>
      </c>
      <c r="Z17" s="179">
        <f t="shared" si="19"/>
        <v>1949879225</v>
      </c>
      <c r="AA17" s="179">
        <f t="shared" si="19"/>
        <v>720052944</v>
      </c>
      <c r="AB17" s="179">
        <f t="shared" si="19"/>
        <v>1118593715</v>
      </c>
      <c r="AC17" s="179">
        <f t="shared" si="19"/>
        <v>655770790</v>
      </c>
      <c r="AD17" s="181">
        <f t="shared" si="19"/>
        <v>1144359398</v>
      </c>
      <c r="AE17" s="179">
        <f t="shared" si="19"/>
        <v>661899993</v>
      </c>
      <c r="AF17" s="179">
        <f t="shared" si="19"/>
        <v>639599723</v>
      </c>
      <c r="AG17" s="179">
        <f t="shared" si="19"/>
        <v>95844556</v>
      </c>
      <c r="AH17" s="179">
        <f t="shared" si="19"/>
        <v>93110180</v>
      </c>
      <c r="AI17" s="179">
        <f t="shared" si="19"/>
        <v>25379842</v>
      </c>
      <c r="AJ17" s="180">
        <f aca="true" t="shared" si="20" ref="AJ17:AZ17">AJ21+AJ33</f>
        <v>12031706342</v>
      </c>
      <c r="AK17" s="178">
        <f t="shared" si="20"/>
        <v>0</v>
      </c>
      <c r="AL17" s="179">
        <f t="shared" si="20"/>
        <v>4927215976</v>
      </c>
      <c r="AM17" s="179">
        <f t="shared" si="20"/>
        <v>1949879225</v>
      </c>
      <c r="AN17" s="179">
        <f t="shared" si="20"/>
        <v>720052944</v>
      </c>
      <c r="AO17" s="179">
        <f t="shared" si="20"/>
        <v>1118593715</v>
      </c>
      <c r="AP17" s="179">
        <f t="shared" si="20"/>
        <v>655770790</v>
      </c>
      <c r="AQ17" s="181">
        <f t="shared" si="20"/>
        <v>1144359398</v>
      </c>
      <c r="AR17" s="179">
        <f t="shared" si="20"/>
        <v>661899993</v>
      </c>
      <c r="AS17" s="179">
        <f t="shared" si="20"/>
        <v>639599723</v>
      </c>
      <c r="AT17" s="179">
        <f t="shared" si="20"/>
        <v>95844556</v>
      </c>
      <c r="AU17" s="179">
        <f t="shared" si="20"/>
        <v>93110180</v>
      </c>
      <c r="AV17" s="179">
        <f t="shared" si="20"/>
        <v>25379842</v>
      </c>
      <c r="AW17" s="180">
        <f t="shared" si="20"/>
        <v>12031706342</v>
      </c>
      <c r="AX17" s="178">
        <f t="shared" si="20"/>
        <v>0</v>
      </c>
      <c r="AY17" s="246">
        <f t="shared" si="20"/>
        <v>61834294</v>
      </c>
      <c r="AZ17" s="180">
        <f t="shared" si="20"/>
        <v>0</v>
      </c>
    </row>
    <row r="18" spans="1:52" ht="13.5" thickBot="1">
      <c r="A18" s="38"/>
      <c r="B18" s="38"/>
      <c r="C18" s="38"/>
      <c r="D18" s="38"/>
      <c r="E18" s="38"/>
      <c r="F18" s="38"/>
      <c r="G18" s="39"/>
      <c r="H18" s="36"/>
      <c r="I18" s="36"/>
      <c r="J18" s="36"/>
      <c r="K18" s="36"/>
      <c r="L18" s="36"/>
      <c r="M18" s="36"/>
      <c r="N18" s="36"/>
      <c r="O18" s="36"/>
      <c r="P18" s="36"/>
      <c r="Q18" s="40"/>
      <c r="R18" s="36"/>
      <c r="S18" s="36"/>
      <c r="T18" s="36"/>
      <c r="U18" s="36"/>
      <c r="V18" s="36"/>
      <c r="W18" s="261"/>
      <c r="X18" s="36"/>
      <c r="Y18" s="36"/>
      <c r="Z18" s="36"/>
      <c r="AA18" s="36"/>
      <c r="AB18" s="36"/>
      <c r="AC18" s="36"/>
      <c r="AD18" s="40"/>
      <c r="AE18" s="36"/>
      <c r="AF18" s="36"/>
      <c r="AG18" s="36"/>
      <c r="AH18" s="36"/>
      <c r="AI18" s="36"/>
      <c r="AJ18" s="261"/>
      <c r="AK18" s="36"/>
      <c r="AL18" s="36"/>
      <c r="AM18" s="36"/>
      <c r="AN18" s="36"/>
      <c r="AO18" s="36"/>
      <c r="AP18" s="36"/>
      <c r="AQ18" s="40"/>
      <c r="AR18" s="36"/>
      <c r="AS18" s="36"/>
      <c r="AT18" s="36"/>
      <c r="AU18" s="36"/>
      <c r="AV18" s="36"/>
      <c r="AW18" s="261"/>
      <c r="AX18" s="36"/>
      <c r="AY18" s="36"/>
      <c r="AZ18" s="36"/>
    </row>
    <row r="19" spans="1:52" ht="13.5" thickBot="1">
      <c r="A19" s="124" t="s">
        <v>130</v>
      </c>
      <c r="B19" s="125"/>
      <c r="C19" s="125"/>
      <c r="D19" s="125"/>
      <c r="E19" s="125"/>
      <c r="F19" s="125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8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27"/>
      <c r="AS19" s="127"/>
      <c r="AT19" s="127"/>
      <c r="AU19" s="127"/>
      <c r="AV19" s="127"/>
      <c r="AW19" s="127"/>
      <c r="AX19" s="127"/>
      <c r="AY19" s="127"/>
      <c r="AZ19" s="129"/>
    </row>
    <row r="20" spans="1:52" ht="13.5" thickBot="1">
      <c r="A20" s="38"/>
      <c r="B20" s="38"/>
      <c r="C20" s="38"/>
      <c r="D20" s="38"/>
      <c r="E20" s="38"/>
      <c r="F20" s="38"/>
      <c r="G20" s="39"/>
      <c r="H20" s="36"/>
      <c r="I20" s="36"/>
      <c r="J20" s="36"/>
      <c r="K20" s="36"/>
      <c r="L20" s="36"/>
      <c r="M20" s="36"/>
      <c r="N20" s="36"/>
      <c r="O20" s="36"/>
      <c r="P20" s="36"/>
      <c r="Q20" s="40"/>
      <c r="R20" s="36"/>
      <c r="S20" s="36"/>
      <c r="T20" s="36"/>
      <c r="U20" s="36"/>
      <c r="V20" s="36"/>
      <c r="W20" s="261"/>
      <c r="X20" s="36"/>
      <c r="Y20" s="36"/>
      <c r="Z20" s="36"/>
      <c r="AA20" s="36"/>
      <c r="AB20" s="36"/>
      <c r="AC20" s="36"/>
      <c r="AD20" s="40"/>
      <c r="AE20" s="36"/>
      <c r="AF20" s="36"/>
      <c r="AG20" s="36"/>
      <c r="AH20" s="36"/>
      <c r="AI20" s="36"/>
      <c r="AJ20" s="261"/>
      <c r="AK20" s="36"/>
      <c r="AL20" s="36"/>
      <c r="AM20" s="36"/>
      <c r="AN20" s="36"/>
      <c r="AO20" s="36"/>
      <c r="AP20" s="36"/>
      <c r="AQ20" s="40"/>
      <c r="AR20" s="36"/>
      <c r="AS20" s="36"/>
      <c r="AT20" s="36"/>
      <c r="AU20" s="36"/>
      <c r="AV20" s="36"/>
      <c r="AW20" s="261"/>
      <c r="AX20" s="36"/>
      <c r="AY20" s="36"/>
      <c r="AZ20" s="36"/>
    </row>
    <row r="21" spans="1:52" ht="30.75" customHeight="1" thickBot="1">
      <c r="A21" s="175" t="s">
        <v>174</v>
      </c>
      <c r="B21" s="176" t="s">
        <v>132</v>
      </c>
      <c r="C21" s="176" t="s">
        <v>132</v>
      </c>
      <c r="D21" s="176" t="s">
        <v>132</v>
      </c>
      <c r="E21" s="176" t="s">
        <v>132</v>
      </c>
      <c r="F21" s="176" t="s">
        <v>132</v>
      </c>
      <c r="G21" s="199" t="s">
        <v>176</v>
      </c>
      <c r="H21" s="178">
        <f aca="true" t="shared" si="21" ref="H21:X21">H22+H24+H26</f>
        <v>5009545642</v>
      </c>
      <c r="I21" s="179">
        <f t="shared" si="21"/>
        <v>0</v>
      </c>
      <c r="J21" s="180">
        <f t="shared" si="21"/>
        <v>5009545642</v>
      </c>
      <c r="K21" s="178">
        <f t="shared" si="21"/>
        <v>5009545642</v>
      </c>
      <c r="L21" s="179">
        <f t="shared" si="21"/>
        <v>0</v>
      </c>
      <c r="M21" s="179">
        <f t="shared" si="21"/>
        <v>0</v>
      </c>
      <c r="N21" s="179">
        <f t="shared" si="21"/>
        <v>0</v>
      </c>
      <c r="O21" s="179">
        <f t="shared" si="21"/>
        <v>0</v>
      </c>
      <c r="P21" s="179">
        <f t="shared" si="21"/>
        <v>0</v>
      </c>
      <c r="Q21" s="181">
        <f t="shared" si="21"/>
        <v>0</v>
      </c>
      <c r="R21" s="179">
        <f t="shared" si="21"/>
        <v>0</v>
      </c>
      <c r="S21" s="179">
        <f t="shared" si="21"/>
        <v>0</v>
      </c>
      <c r="T21" s="179">
        <f t="shared" si="21"/>
        <v>0</v>
      </c>
      <c r="U21" s="179">
        <f t="shared" si="21"/>
        <v>0</v>
      </c>
      <c r="V21" s="179">
        <f t="shared" si="21"/>
        <v>0</v>
      </c>
      <c r="W21" s="180">
        <f t="shared" si="21"/>
        <v>5009545642</v>
      </c>
      <c r="X21" s="178">
        <f t="shared" si="21"/>
        <v>0</v>
      </c>
      <c r="Y21" s="179">
        <f aca="true" t="shared" si="22" ref="Y21:AI21">Y22+Y24+Y26</f>
        <v>3146916556</v>
      </c>
      <c r="Z21" s="179">
        <f t="shared" si="22"/>
        <v>1334770654</v>
      </c>
      <c r="AA21" s="179">
        <f t="shared" si="22"/>
        <v>208304961</v>
      </c>
      <c r="AB21" s="179">
        <f t="shared" si="22"/>
        <v>33445542</v>
      </c>
      <c r="AC21" s="179">
        <f t="shared" si="22"/>
        <v>3579490</v>
      </c>
      <c r="AD21" s="181">
        <f t="shared" si="22"/>
        <v>130408240</v>
      </c>
      <c r="AE21" s="179">
        <f t="shared" si="22"/>
        <v>57469124</v>
      </c>
      <c r="AF21" s="179">
        <f t="shared" si="22"/>
        <v>36752226</v>
      </c>
      <c r="AG21" s="179">
        <f t="shared" si="22"/>
        <v>7120680</v>
      </c>
      <c r="AH21" s="179">
        <f t="shared" si="22"/>
        <v>4407967</v>
      </c>
      <c r="AI21" s="179">
        <f t="shared" si="22"/>
        <v>24813952</v>
      </c>
      <c r="AJ21" s="180">
        <f aca="true" t="shared" si="23" ref="AJ21:AZ21">AJ22+AJ24+AJ26</f>
        <v>4987989392</v>
      </c>
      <c r="AK21" s="178">
        <f t="shared" si="23"/>
        <v>0</v>
      </c>
      <c r="AL21" s="179">
        <f t="shared" si="23"/>
        <v>3146916556</v>
      </c>
      <c r="AM21" s="179">
        <f t="shared" si="23"/>
        <v>1334770654</v>
      </c>
      <c r="AN21" s="179">
        <f t="shared" si="23"/>
        <v>208304961</v>
      </c>
      <c r="AO21" s="179">
        <f t="shared" si="23"/>
        <v>33445542</v>
      </c>
      <c r="AP21" s="179">
        <f t="shared" si="23"/>
        <v>3579490</v>
      </c>
      <c r="AQ21" s="181">
        <f t="shared" si="23"/>
        <v>130408240</v>
      </c>
      <c r="AR21" s="179">
        <f t="shared" si="23"/>
        <v>57469124</v>
      </c>
      <c r="AS21" s="179">
        <f t="shared" si="23"/>
        <v>36752226</v>
      </c>
      <c r="AT21" s="179">
        <f t="shared" si="23"/>
        <v>7120680</v>
      </c>
      <c r="AU21" s="179">
        <f t="shared" si="23"/>
        <v>4407967</v>
      </c>
      <c r="AV21" s="179">
        <f t="shared" si="23"/>
        <v>24813952</v>
      </c>
      <c r="AW21" s="180">
        <f t="shared" si="23"/>
        <v>4987989392</v>
      </c>
      <c r="AX21" s="179">
        <f t="shared" si="23"/>
        <v>0</v>
      </c>
      <c r="AY21" s="247">
        <f t="shared" si="23"/>
        <v>21556250</v>
      </c>
      <c r="AZ21" s="180">
        <f t="shared" si="23"/>
        <v>0</v>
      </c>
    </row>
    <row r="22" spans="1:52" ht="30.75" customHeight="1">
      <c r="A22" s="182" t="s">
        <v>174</v>
      </c>
      <c r="B22" s="183" t="s">
        <v>134</v>
      </c>
      <c r="C22" s="183" t="s">
        <v>177</v>
      </c>
      <c r="D22" s="183" t="s">
        <v>343</v>
      </c>
      <c r="E22" s="183" t="s">
        <v>132</v>
      </c>
      <c r="F22" s="183" t="s">
        <v>132</v>
      </c>
      <c r="G22" s="200" t="s">
        <v>178</v>
      </c>
      <c r="H22" s="186">
        <f aca="true" t="shared" si="24" ref="H22:X22">H23</f>
        <v>141670298</v>
      </c>
      <c r="I22" s="187">
        <f t="shared" si="24"/>
        <v>0</v>
      </c>
      <c r="J22" s="188">
        <f t="shared" si="24"/>
        <v>141670298</v>
      </c>
      <c r="K22" s="186">
        <f t="shared" si="24"/>
        <v>141670298</v>
      </c>
      <c r="L22" s="187">
        <f t="shared" si="24"/>
        <v>0</v>
      </c>
      <c r="M22" s="187">
        <f t="shared" si="24"/>
        <v>0</v>
      </c>
      <c r="N22" s="187">
        <f t="shared" si="24"/>
        <v>0</v>
      </c>
      <c r="O22" s="187">
        <f t="shared" si="24"/>
        <v>0</v>
      </c>
      <c r="P22" s="187">
        <f t="shared" si="24"/>
        <v>0</v>
      </c>
      <c r="Q22" s="189">
        <f t="shared" si="24"/>
        <v>0</v>
      </c>
      <c r="R22" s="187">
        <f t="shared" si="24"/>
        <v>0</v>
      </c>
      <c r="S22" s="187">
        <f t="shared" si="24"/>
        <v>0</v>
      </c>
      <c r="T22" s="187">
        <f t="shared" si="24"/>
        <v>0</v>
      </c>
      <c r="U22" s="187">
        <f t="shared" si="24"/>
        <v>0</v>
      </c>
      <c r="V22" s="187">
        <f t="shared" si="24"/>
        <v>0</v>
      </c>
      <c r="W22" s="188">
        <f t="shared" si="24"/>
        <v>141670298</v>
      </c>
      <c r="X22" s="186">
        <f t="shared" si="24"/>
        <v>0</v>
      </c>
      <c r="Y22" s="187">
        <f aca="true" t="shared" si="25" ref="Y22:AI22">Y23</f>
        <v>16277087</v>
      </c>
      <c r="Z22" s="187">
        <f t="shared" si="25"/>
        <v>50006204</v>
      </c>
      <c r="AA22" s="187">
        <f t="shared" si="25"/>
        <v>17103156</v>
      </c>
      <c r="AB22" s="187">
        <f t="shared" si="25"/>
        <v>22373930</v>
      </c>
      <c r="AC22" s="187">
        <f t="shared" si="25"/>
        <v>0</v>
      </c>
      <c r="AD22" s="189">
        <f t="shared" si="25"/>
        <v>3973469</v>
      </c>
      <c r="AE22" s="187">
        <f t="shared" si="25"/>
        <v>9929700</v>
      </c>
      <c r="AF22" s="187">
        <f t="shared" si="25"/>
        <v>0</v>
      </c>
      <c r="AG22" s="187">
        <f t="shared" si="25"/>
        <v>0</v>
      </c>
      <c r="AH22" s="187">
        <f t="shared" si="25"/>
        <v>0</v>
      </c>
      <c r="AI22" s="187">
        <f t="shared" si="25"/>
        <v>21996752</v>
      </c>
      <c r="AJ22" s="188">
        <f aca="true" t="shared" si="26" ref="AJ22:AZ22">AJ23</f>
        <v>141660298</v>
      </c>
      <c r="AK22" s="186">
        <f t="shared" si="26"/>
        <v>0</v>
      </c>
      <c r="AL22" s="187">
        <f t="shared" si="26"/>
        <v>16277087</v>
      </c>
      <c r="AM22" s="187">
        <f t="shared" si="26"/>
        <v>50006204</v>
      </c>
      <c r="AN22" s="187">
        <f t="shared" si="26"/>
        <v>17103156</v>
      </c>
      <c r="AO22" s="187">
        <f t="shared" si="26"/>
        <v>22373930</v>
      </c>
      <c r="AP22" s="187">
        <f t="shared" si="26"/>
        <v>0</v>
      </c>
      <c r="AQ22" s="189">
        <f t="shared" si="26"/>
        <v>3973469</v>
      </c>
      <c r="AR22" s="187">
        <f t="shared" si="26"/>
        <v>9929700</v>
      </c>
      <c r="AS22" s="187">
        <f t="shared" si="26"/>
        <v>0</v>
      </c>
      <c r="AT22" s="187">
        <f t="shared" si="26"/>
        <v>0</v>
      </c>
      <c r="AU22" s="187">
        <f t="shared" si="26"/>
        <v>0</v>
      </c>
      <c r="AV22" s="187">
        <f t="shared" si="26"/>
        <v>21996752</v>
      </c>
      <c r="AW22" s="188">
        <f t="shared" si="26"/>
        <v>141660298</v>
      </c>
      <c r="AX22" s="281">
        <f t="shared" si="26"/>
        <v>0</v>
      </c>
      <c r="AY22" s="282">
        <f t="shared" si="26"/>
        <v>10000</v>
      </c>
      <c r="AZ22" s="274">
        <f t="shared" si="26"/>
        <v>0</v>
      </c>
    </row>
    <row r="23" spans="1:52" ht="30.75" customHeight="1">
      <c r="A23" s="136" t="s">
        <v>174</v>
      </c>
      <c r="B23" s="130" t="s">
        <v>134</v>
      </c>
      <c r="C23" s="130" t="s">
        <v>177</v>
      </c>
      <c r="D23" s="130" t="s">
        <v>179</v>
      </c>
      <c r="E23" s="130" t="s">
        <v>142</v>
      </c>
      <c r="F23" s="130" t="s">
        <v>138</v>
      </c>
      <c r="G23" s="287" t="s">
        <v>180</v>
      </c>
      <c r="H23" s="173">
        <v>141670298</v>
      </c>
      <c r="I23" s="132">
        <v>0</v>
      </c>
      <c r="J23" s="257">
        <f>SUM(H23:I23)</f>
        <v>141670298</v>
      </c>
      <c r="K23" s="173">
        <v>141670298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3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257">
        <f>SUM(K23:V23)</f>
        <v>141670298</v>
      </c>
      <c r="X23" s="173">
        <f aca="true" t="shared" si="27" ref="X23:AI23">AK23</f>
        <v>0</v>
      </c>
      <c r="Y23" s="132">
        <f t="shared" si="27"/>
        <v>16277087</v>
      </c>
      <c r="Z23" s="132">
        <f t="shared" si="27"/>
        <v>50006204</v>
      </c>
      <c r="AA23" s="132">
        <f t="shared" si="27"/>
        <v>17103156</v>
      </c>
      <c r="AB23" s="132">
        <f t="shared" si="27"/>
        <v>22373930</v>
      </c>
      <c r="AC23" s="132">
        <f t="shared" si="27"/>
        <v>0</v>
      </c>
      <c r="AD23" s="133">
        <f t="shared" si="27"/>
        <v>3973469</v>
      </c>
      <c r="AE23" s="132">
        <f t="shared" si="27"/>
        <v>9929700</v>
      </c>
      <c r="AF23" s="132">
        <f t="shared" si="27"/>
        <v>0</v>
      </c>
      <c r="AG23" s="132">
        <f t="shared" si="27"/>
        <v>0</v>
      </c>
      <c r="AH23" s="132">
        <f t="shared" si="27"/>
        <v>0</v>
      </c>
      <c r="AI23" s="132">
        <f t="shared" si="27"/>
        <v>21996752</v>
      </c>
      <c r="AJ23" s="257">
        <f>SUM(X23:AI23)</f>
        <v>141660298</v>
      </c>
      <c r="AK23" s="173">
        <v>0</v>
      </c>
      <c r="AL23" s="132">
        <v>16277087</v>
      </c>
      <c r="AM23" s="132">
        <v>50006204</v>
      </c>
      <c r="AN23" s="132">
        <v>17103156</v>
      </c>
      <c r="AO23" s="132">
        <v>22373930</v>
      </c>
      <c r="AP23" s="132">
        <v>0</v>
      </c>
      <c r="AQ23" s="133">
        <v>3973469</v>
      </c>
      <c r="AR23" s="132">
        <v>9929700</v>
      </c>
      <c r="AS23" s="132">
        <v>0</v>
      </c>
      <c r="AT23" s="132">
        <v>0</v>
      </c>
      <c r="AU23" s="132">
        <v>0</v>
      </c>
      <c r="AV23" s="132">
        <v>21996752</v>
      </c>
      <c r="AW23" s="257">
        <f>SUM(AK23:AV23)</f>
        <v>141660298</v>
      </c>
      <c r="AX23" s="283">
        <f>J23-W23</f>
        <v>0</v>
      </c>
      <c r="AY23" s="284">
        <f>W23-AJ23</f>
        <v>10000</v>
      </c>
      <c r="AZ23" s="277">
        <f>AJ23-AW23</f>
        <v>0</v>
      </c>
    </row>
    <row r="24" spans="1:52" ht="30.75" customHeight="1">
      <c r="A24" s="182" t="s">
        <v>174</v>
      </c>
      <c r="B24" s="183" t="s">
        <v>134</v>
      </c>
      <c r="C24" s="183" t="s">
        <v>181</v>
      </c>
      <c r="D24" s="183" t="s">
        <v>132</v>
      </c>
      <c r="E24" s="183" t="s">
        <v>132</v>
      </c>
      <c r="F24" s="183" t="s">
        <v>132</v>
      </c>
      <c r="G24" s="200" t="s">
        <v>182</v>
      </c>
      <c r="H24" s="186">
        <f aca="true" t="shared" si="28" ref="H24:X24">H25</f>
        <v>99000000</v>
      </c>
      <c r="I24" s="187">
        <f t="shared" si="28"/>
        <v>0</v>
      </c>
      <c r="J24" s="188">
        <f t="shared" si="28"/>
        <v>99000000</v>
      </c>
      <c r="K24" s="186">
        <f t="shared" si="28"/>
        <v>99000000</v>
      </c>
      <c r="L24" s="187">
        <f t="shared" si="28"/>
        <v>0</v>
      </c>
      <c r="M24" s="187">
        <f t="shared" si="28"/>
        <v>0</v>
      </c>
      <c r="N24" s="187">
        <f t="shared" si="28"/>
        <v>0</v>
      </c>
      <c r="O24" s="187">
        <f t="shared" si="28"/>
        <v>0</v>
      </c>
      <c r="P24" s="187">
        <f t="shared" si="28"/>
        <v>0</v>
      </c>
      <c r="Q24" s="189">
        <f t="shared" si="28"/>
        <v>0</v>
      </c>
      <c r="R24" s="187">
        <f t="shared" si="28"/>
        <v>0</v>
      </c>
      <c r="S24" s="187">
        <f t="shared" si="28"/>
        <v>0</v>
      </c>
      <c r="T24" s="187">
        <f t="shared" si="28"/>
        <v>0</v>
      </c>
      <c r="U24" s="187">
        <f t="shared" si="28"/>
        <v>0</v>
      </c>
      <c r="V24" s="187">
        <f t="shared" si="28"/>
        <v>0</v>
      </c>
      <c r="W24" s="188">
        <f t="shared" si="28"/>
        <v>99000000</v>
      </c>
      <c r="X24" s="186">
        <f t="shared" si="28"/>
        <v>0</v>
      </c>
      <c r="Y24" s="187">
        <f aca="true" t="shared" si="29" ref="Y24:AI24">Y25</f>
        <v>69600000</v>
      </c>
      <c r="Z24" s="187">
        <f t="shared" si="29"/>
        <v>19400000</v>
      </c>
      <c r="AA24" s="187">
        <f t="shared" si="29"/>
        <v>0</v>
      </c>
      <c r="AB24" s="187">
        <f t="shared" si="29"/>
        <v>0</v>
      </c>
      <c r="AC24" s="187">
        <f t="shared" si="29"/>
        <v>0</v>
      </c>
      <c r="AD24" s="189">
        <f t="shared" si="29"/>
        <v>10000000</v>
      </c>
      <c r="AE24" s="187">
        <f t="shared" si="29"/>
        <v>0</v>
      </c>
      <c r="AF24" s="187">
        <f t="shared" si="29"/>
        <v>0</v>
      </c>
      <c r="AG24" s="187">
        <f t="shared" si="29"/>
        <v>0</v>
      </c>
      <c r="AH24" s="187">
        <f t="shared" si="29"/>
        <v>0</v>
      </c>
      <c r="AI24" s="187">
        <f t="shared" si="29"/>
        <v>0</v>
      </c>
      <c r="AJ24" s="188">
        <f aca="true" t="shared" si="30" ref="AJ24:AZ24">AJ25</f>
        <v>99000000</v>
      </c>
      <c r="AK24" s="186">
        <f t="shared" si="30"/>
        <v>0</v>
      </c>
      <c r="AL24" s="187">
        <f t="shared" si="30"/>
        <v>69600000</v>
      </c>
      <c r="AM24" s="187">
        <f t="shared" si="30"/>
        <v>19400000</v>
      </c>
      <c r="AN24" s="187">
        <f t="shared" si="30"/>
        <v>0</v>
      </c>
      <c r="AO24" s="187">
        <f t="shared" si="30"/>
        <v>0</v>
      </c>
      <c r="AP24" s="187">
        <f t="shared" si="30"/>
        <v>0</v>
      </c>
      <c r="AQ24" s="189">
        <f t="shared" si="30"/>
        <v>10000000</v>
      </c>
      <c r="AR24" s="187">
        <f t="shared" si="30"/>
        <v>0</v>
      </c>
      <c r="AS24" s="187">
        <f t="shared" si="30"/>
        <v>0</v>
      </c>
      <c r="AT24" s="187">
        <f t="shared" si="30"/>
        <v>0</v>
      </c>
      <c r="AU24" s="187">
        <f t="shared" si="30"/>
        <v>0</v>
      </c>
      <c r="AV24" s="187">
        <f t="shared" si="30"/>
        <v>0</v>
      </c>
      <c r="AW24" s="188">
        <f t="shared" si="30"/>
        <v>99000000</v>
      </c>
      <c r="AX24" s="281">
        <f t="shared" si="30"/>
        <v>0</v>
      </c>
      <c r="AY24" s="282">
        <f t="shared" si="30"/>
        <v>0</v>
      </c>
      <c r="AZ24" s="274">
        <f t="shared" si="30"/>
        <v>0</v>
      </c>
    </row>
    <row r="25" spans="1:52" ht="30.75" customHeight="1">
      <c r="A25" s="136" t="s">
        <v>174</v>
      </c>
      <c r="B25" s="130" t="s">
        <v>134</v>
      </c>
      <c r="C25" s="130" t="s">
        <v>181</v>
      </c>
      <c r="D25" s="130" t="s">
        <v>183</v>
      </c>
      <c r="E25" s="130" t="s">
        <v>135</v>
      </c>
      <c r="F25" s="130" t="s">
        <v>138</v>
      </c>
      <c r="G25" s="287" t="s">
        <v>184</v>
      </c>
      <c r="H25" s="173">
        <v>99000000</v>
      </c>
      <c r="I25" s="132">
        <v>0</v>
      </c>
      <c r="J25" s="257">
        <f>SUM(H25:I25)</f>
        <v>99000000</v>
      </c>
      <c r="K25" s="173">
        <v>99000000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3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257">
        <f>SUM(K25:V25)</f>
        <v>99000000</v>
      </c>
      <c r="X25" s="173">
        <f aca="true" t="shared" si="31" ref="X25:AI25">AK25</f>
        <v>0</v>
      </c>
      <c r="Y25" s="132">
        <f t="shared" si="31"/>
        <v>69600000</v>
      </c>
      <c r="Z25" s="132">
        <f t="shared" si="31"/>
        <v>19400000</v>
      </c>
      <c r="AA25" s="132">
        <f t="shared" si="31"/>
        <v>0</v>
      </c>
      <c r="AB25" s="132">
        <f t="shared" si="31"/>
        <v>0</v>
      </c>
      <c r="AC25" s="132">
        <f t="shared" si="31"/>
        <v>0</v>
      </c>
      <c r="AD25" s="133">
        <f t="shared" si="31"/>
        <v>10000000</v>
      </c>
      <c r="AE25" s="132">
        <f t="shared" si="31"/>
        <v>0</v>
      </c>
      <c r="AF25" s="132">
        <f t="shared" si="31"/>
        <v>0</v>
      </c>
      <c r="AG25" s="132">
        <f t="shared" si="31"/>
        <v>0</v>
      </c>
      <c r="AH25" s="132">
        <f t="shared" si="31"/>
        <v>0</v>
      </c>
      <c r="AI25" s="132">
        <f t="shared" si="31"/>
        <v>0</v>
      </c>
      <c r="AJ25" s="257">
        <f>SUM(X25:AI25)</f>
        <v>99000000</v>
      </c>
      <c r="AK25" s="173">
        <v>0</v>
      </c>
      <c r="AL25" s="132">
        <v>69600000</v>
      </c>
      <c r="AM25" s="132">
        <v>19400000</v>
      </c>
      <c r="AN25" s="132">
        <v>0</v>
      </c>
      <c r="AO25" s="132">
        <v>0</v>
      </c>
      <c r="AP25" s="132">
        <v>0</v>
      </c>
      <c r="AQ25" s="133">
        <v>10000000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257">
        <f>SUM(AK25:AV25)</f>
        <v>99000000</v>
      </c>
      <c r="AX25" s="283">
        <f>J25-W25</f>
        <v>0</v>
      </c>
      <c r="AY25" s="284">
        <f>W25-AJ25</f>
        <v>0</v>
      </c>
      <c r="AZ25" s="277">
        <f>AJ25-AW25</f>
        <v>0</v>
      </c>
    </row>
    <row r="26" spans="1:52" ht="30.75" customHeight="1">
      <c r="A26" s="182" t="s">
        <v>174</v>
      </c>
      <c r="B26" s="183" t="s">
        <v>134</v>
      </c>
      <c r="C26" s="183" t="s">
        <v>185</v>
      </c>
      <c r="D26" s="183" t="s">
        <v>132</v>
      </c>
      <c r="E26" s="183" t="s">
        <v>132</v>
      </c>
      <c r="F26" s="183" t="s">
        <v>132</v>
      </c>
      <c r="G26" s="200" t="s">
        <v>186</v>
      </c>
      <c r="H26" s="186">
        <f aca="true" t="shared" si="32" ref="H26:X26">SUM(H27:H29)</f>
        <v>4768875344</v>
      </c>
      <c r="I26" s="187">
        <f t="shared" si="32"/>
        <v>0</v>
      </c>
      <c r="J26" s="188">
        <f t="shared" si="32"/>
        <v>4768875344</v>
      </c>
      <c r="K26" s="186">
        <f t="shared" si="32"/>
        <v>4768875344</v>
      </c>
      <c r="L26" s="187">
        <f t="shared" si="32"/>
        <v>0</v>
      </c>
      <c r="M26" s="187">
        <f t="shared" si="32"/>
        <v>0</v>
      </c>
      <c r="N26" s="187">
        <f t="shared" si="32"/>
        <v>0</v>
      </c>
      <c r="O26" s="187">
        <f t="shared" si="32"/>
        <v>0</v>
      </c>
      <c r="P26" s="187">
        <f t="shared" si="32"/>
        <v>0</v>
      </c>
      <c r="Q26" s="189">
        <f t="shared" si="32"/>
        <v>0</v>
      </c>
      <c r="R26" s="187">
        <f t="shared" si="32"/>
        <v>0</v>
      </c>
      <c r="S26" s="187">
        <f t="shared" si="32"/>
        <v>0</v>
      </c>
      <c r="T26" s="187">
        <f t="shared" si="32"/>
        <v>0</v>
      </c>
      <c r="U26" s="187">
        <f t="shared" si="32"/>
        <v>0</v>
      </c>
      <c r="V26" s="187">
        <f t="shared" si="32"/>
        <v>0</v>
      </c>
      <c r="W26" s="188">
        <f t="shared" si="32"/>
        <v>4768875344</v>
      </c>
      <c r="X26" s="186">
        <f t="shared" si="32"/>
        <v>0</v>
      </c>
      <c r="Y26" s="187">
        <f aca="true" t="shared" si="33" ref="Y26:AI26">SUM(Y27:Y29)</f>
        <v>3061039469</v>
      </c>
      <c r="Z26" s="187">
        <f t="shared" si="33"/>
        <v>1265364450</v>
      </c>
      <c r="AA26" s="187">
        <f t="shared" si="33"/>
        <v>191201805</v>
      </c>
      <c r="AB26" s="187">
        <f t="shared" si="33"/>
        <v>11071612</v>
      </c>
      <c r="AC26" s="187">
        <f t="shared" si="33"/>
        <v>3579490</v>
      </c>
      <c r="AD26" s="189">
        <f t="shared" si="33"/>
        <v>116434771</v>
      </c>
      <c r="AE26" s="187">
        <f t="shared" si="33"/>
        <v>47539424</v>
      </c>
      <c r="AF26" s="187">
        <f t="shared" si="33"/>
        <v>36752226</v>
      </c>
      <c r="AG26" s="187">
        <f t="shared" si="33"/>
        <v>7120680</v>
      </c>
      <c r="AH26" s="187">
        <f t="shared" si="33"/>
        <v>4407967</v>
      </c>
      <c r="AI26" s="187">
        <f t="shared" si="33"/>
        <v>2817200</v>
      </c>
      <c r="AJ26" s="188">
        <f aca="true" t="shared" si="34" ref="AJ26:AZ26">SUM(AJ27:AJ29)</f>
        <v>4747329094</v>
      </c>
      <c r="AK26" s="186">
        <f t="shared" si="34"/>
        <v>0</v>
      </c>
      <c r="AL26" s="187">
        <f t="shared" si="34"/>
        <v>3061039469</v>
      </c>
      <c r="AM26" s="187">
        <f t="shared" si="34"/>
        <v>1265364450</v>
      </c>
      <c r="AN26" s="187">
        <f t="shared" si="34"/>
        <v>191201805</v>
      </c>
      <c r="AO26" s="187">
        <f t="shared" si="34"/>
        <v>11071612</v>
      </c>
      <c r="AP26" s="187">
        <f t="shared" si="34"/>
        <v>3579490</v>
      </c>
      <c r="AQ26" s="189">
        <f t="shared" si="34"/>
        <v>116434771</v>
      </c>
      <c r="AR26" s="187">
        <f t="shared" si="34"/>
        <v>47539424</v>
      </c>
      <c r="AS26" s="187">
        <f t="shared" si="34"/>
        <v>36752226</v>
      </c>
      <c r="AT26" s="187">
        <f t="shared" si="34"/>
        <v>7120680</v>
      </c>
      <c r="AU26" s="187">
        <f t="shared" si="34"/>
        <v>4407967</v>
      </c>
      <c r="AV26" s="187">
        <f t="shared" si="34"/>
        <v>2817200</v>
      </c>
      <c r="AW26" s="188">
        <f t="shared" si="34"/>
        <v>4747329094</v>
      </c>
      <c r="AX26" s="281">
        <f t="shared" si="34"/>
        <v>0</v>
      </c>
      <c r="AY26" s="282">
        <f t="shared" si="34"/>
        <v>21546250</v>
      </c>
      <c r="AZ26" s="274">
        <f t="shared" si="34"/>
        <v>0</v>
      </c>
    </row>
    <row r="27" spans="1:52" ht="30.75" customHeight="1">
      <c r="A27" s="136" t="s">
        <v>174</v>
      </c>
      <c r="B27" s="130" t="s">
        <v>134</v>
      </c>
      <c r="C27" s="130" t="s">
        <v>185</v>
      </c>
      <c r="D27" s="130" t="s">
        <v>179</v>
      </c>
      <c r="E27" s="130" t="s">
        <v>187</v>
      </c>
      <c r="F27" s="130" t="s">
        <v>138</v>
      </c>
      <c r="G27" s="287" t="s">
        <v>188</v>
      </c>
      <c r="H27" s="173">
        <v>78373962</v>
      </c>
      <c r="I27" s="132">
        <v>0</v>
      </c>
      <c r="J27" s="257">
        <f>SUM(H27:I27)</f>
        <v>78373962</v>
      </c>
      <c r="K27" s="173">
        <v>78373962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3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257">
        <f>SUM(K27:V27)</f>
        <v>78373962</v>
      </c>
      <c r="X27" s="173">
        <f aca="true" t="shared" si="35" ref="X27:AI29">AK27</f>
        <v>0</v>
      </c>
      <c r="Y27" s="132">
        <f t="shared" si="35"/>
        <v>48008130</v>
      </c>
      <c r="Z27" s="132">
        <f t="shared" si="35"/>
        <v>4548460</v>
      </c>
      <c r="AA27" s="132">
        <f t="shared" si="35"/>
        <v>9300</v>
      </c>
      <c r="AB27" s="132">
        <f t="shared" si="35"/>
        <v>4600000</v>
      </c>
      <c r="AC27" s="132">
        <f t="shared" si="35"/>
        <v>0</v>
      </c>
      <c r="AD27" s="133">
        <f t="shared" si="35"/>
        <v>4903300</v>
      </c>
      <c r="AE27" s="132">
        <f t="shared" si="35"/>
        <v>0</v>
      </c>
      <c r="AF27" s="132">
        <f t="shared" si="35"/>
        <v>0</v>
      </c>
      <c r="AG27" s="132">
        <f t="shared" si="35"/>
        <v>12780</v>
      </c>
      <c r="AH27" s="132">
        <f t="shared" si="35"/>
        <v>0</v>
      </c>
      <c r="AI27" s="132">
        <f t="shared" si="35"/>
        <v>0</v>
      </c>
      <c r="AJ27" s="257">
        <f>SUM(X27:AI27)</f>
        <v>62081970</v>
      </c>
      <c r="AK27" s="173">
        <v>0</v>
      </c>
      <c r="AL27" s="132">
        <v>48008130</v>
      </c>
      <c r="AM27" s="132">
        <v>4548460</v>
      </c>
      <c r="AN27" s="132">
        <v>9300</v>
      </c>
      <c r="AO27" s="132">
        <v>4600000</v>
      </c>
      <c r="AP27" s="132">
        <v>0</v>
      </c>
      <c r="AQ27" s="133">
        <v>4903300</v>
      </c>
      <c r="AR27" s="132">
        <v>0</v>
      </c>
      <c r="AS27" s="132">
        <v>0</v>
      </c>
      <c r="AT27" s="132">
        <v>12780</v>
      </c>
      <c r="AU27" s="132">
        <v>0</v>
      </c>
      <c r="AV27" s="132"/>
      <c r="AW27" s="257">
        <f>SUM(AK27:AV27)</f>
        <v>62081970</v>
      </c>
      <c r="AX27" s="283">
        <f>J27-W27</f>
        <v>0</v>
      </c>
      <c r="AY27" s="284">
        <f>W27-AJ27</f>
        <v>16291992</v>
      </c>
      <c r="AZ27" s="277">
        <f>AJ27-AW27</f>
        <v>0</v>
      </c>
    </row>
    <row r="28" spans="1:52" ht="30.75" customHeight="1">
      <c r="A28" s="136" t="s">
        <v>174</v>
      </c>
      <c r="B28" s="130" t="s">
        <v>134</v>
      </c>
      <c r="C28" s="130" t="s">
        <v>185</v>
      </c>
      <c r="D28" s="130" t="s">
        <v>189</v>
      </c>
      <c r="E28" s="130" t="s">
        <v>190</v>
      </c>
      <c r="F28" s="130" t="s">
        <v>192</v>
      </c>
      <c r="G28" s="287" t="s">
        <v>191</v>
      </c>
      <c r="H28" s="173">
        <v>4360977061</v>
      </c>
      <c r="I28" s="132">
        <v>0</v>
      </c>
      <c r="J28" s="257">
        <f>SUM(H28:I28)</f>
        <v>4360977061</v>
      </c>
      <c r="K28" s="173">
        <v>4360977061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3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257">
        <f>SUM(K28:V28)</f>
        <v>4360977061</v>
      </c>
      <c r="X28" s="173">
        <f t="shared" si="35"/>
        <v>0</v>
      </c>
      <c r="Y28" s="132">
        <f t="shared" si="35"/>
        <v>2875742339</v>
      </c>
      <c r="Z28" s="132">
        <f t="shared" si="35"/>
        <v>1235640444</v>
      </c>
      <c r="AA28" s="132">
        <f t="shared" si="35"/>
        <v>179625775</v>
      </c>
      <c r="AB28" s="132">
        <f t="shared" si="35"/>
        <v>2110312</v>
      </c>
      <c r="AC28" s="132">
        <f t="shared" si="35"/>
        <v>913590</v>
      </c>
      <c r="AD28" s="133">
        <f t="shared" si="35"/>
        <v>8037</v>
      </c>
      <c r="AE28" s="132">
        <f t="shared" si="35"/>
        <v>34708314</v>
      </c>
      <c r="AF28" s="132">
        <f t="shared" si="35"/>
        <v>27615777</v>
      </c>
      <c r="AG28" s="132">
        <f t="shared" si="35"/>
        <v>65570</v>
      </c>
      <c r="AH28" s="132">
        <f t="shared" si="35"/>
        <v>0</v>
      </c>
      <c r="AI28" s="132">
        <f t="shared" si="35"/>
        <v>0</v>
      </c>
      <c r="AJ28" s="257">
        <f>SUM(X28:AI28)</f>
        <v>4356430158</v>
      </c>
      <c r="AK28" s="173">
        <v>0</v>
      </c>
      <c r="AL28" s="132">
        <f>2755227683+11378533+109136123</f>
        <v>2875742339</v>
      </c>
      <c r="AM28" s="132">
        <f>1165890288+33261128+36489028</f>
        <v>1235640444</v>
      </c>
      <c r="AN28" s="132">
        <f>118201472+16057983+45366320</f>
        <v>179625775</v>
      </c>
      <c r="AO28" s="132">
        <v>2110312</v>
      </c>
      <c r="AP28" s="132">
        <v>913590</v>
      </c>
      <c r="AQ28" s="133">
        <v>8037</v>
      </c>
      <c r="AR28" s="132">
        <f>34708313+1</f>
        <v>34708314</v>
      </c>
      <c r="AS28" s="132">
        <f>20856662+6759115</f>
        <v>27615777</v>
      </c>
      <c r="AT28" s="132">
        <f>65570</f>
        <v>65570</v>
      </c>
      <c r="AU28" s="132">
        <v>0</v>
      </c>
      <c r="AV28" s="132"/>
      <c r="AW28" s="257">
        <f>SUM(AK28:AV28)</f>
        <v>4356430158</v>
      </c>
      <c r="AX28" s="283">
        <f>J28-W28</f>
        <v>0</v>
      </c>
      <c r="AY28" s="284">
        <f>W28-AJ28</f>
        <v>4546903</v>
      </c>
      <c r="AZ28" s="277">
        <f>AJ28-AW28</f>
        <v>0</v>
      </c>
    </row>
    <row r="29" spans="1:52" ht="30.75" customHeight="1" thickBot="1">
      <c r="A29" s="137" t="s">
        <v>174</v>
      </c>
      <c r="B29" s="138" t="s">
        <v>134</v>
      </c>
      <c r="C29" s="138" t="s">
        <v>185</v>
      </c>
      <c r="D29" s="138" t="s">
        <v>189</v>
      </c>
      <c r="E29" s="138" t="s">
        <v>267</v>
      </c>
      <c r="F29" s="138" t="s">
        <v>138</v>
      </c>
      <c r="G29" s="288" t="s">
        <v>193</v>
      </c>
      <c r="H29" s="174">
        <v>329524321</v>
      </c>
      <c r="I29" s="141">
        <v>0</v>
      </c>
      <c r="J29" s="258">
        <f>SUM(H29:I29)</f>
        <v>329524321</v>
      </c>
      <c r="K29" s="174">
        <v>329524321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2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258">
        <f>SUM(K29:V29)</f>
        <v>329524321</v>
      </c>
      <c r="X29" s="174">
        <f t="shared" si="35"/>
        <v>0</v>
      </c>
      <c r="Y29" s="141">
        <f t="shared" si="35"/>
        <v>137289000</v>
      </c>
      <c r="Z29" s="141">
        <f t="shared" si="35"/>
        <v>25175546</v>
      </c>
      <c r="AA29" s="141">
        <f t="shared" si="35"/>
        <v>11566730</v>
      </c>
      <c r="AB29" s="141">
        <f t="shared" si="35"/>
        <v>4361300</v>
      </c>
      <c r="AC29" s="141">
        <f t="shared" si="35"/>
        <v>2665900</v>
      </c>
      <c r="AD29" s="142">
        <f t="shared" si="35"/>
        <v>111523434</v>
      </c>
      <c r="AE29" s="141">
        <f t="shared" si="35"/>
        <v>12831110</v>
      </c>
      <c r="AF29" s="141">
        <f t="shared" si="35"/>
        <v>9136449</v>
      </c>
      <c r="AG29" s="141">
        <f t="shared" si="35"/>
        <v>7042330</v>
      </c>
      <c r="AH29" s="141">
        <f t="shared" si="35"/>
        <v>4407967</v>
      </c>
      <c r="AI29" s="141">
        <f t="shared" si="35"/>
        <v>2817200</v>
      </c>
      <c r="AJ29" s="258">
        <f>SUM(X29:AI29)</f>
        <v>328816966</v>
      </c>
      <c r="AK29" s="174">
        <v>0</v>
      </c>
      <c r="AL29" s="141">
        <v>137289000</v>
      </c>
      <c r="AM29" s="141">
        <v>25175546</v>
      </c>
      <c r="AN29" s="141">
        <v>11566730</v>
      </c>
      <c r="AO29" s="141">
        <v>4361300</v>
      </c>
      <c r="AP29" s="141">
        <v>2665900</v>
      </c>
      <c r="AQ29" s="142">
        <v>111523434</v>
      </c>
      <c r="AR29" s="141">
        <v>12831110</v>
      </c>
      <c r="AS29" s="141">
        <v>9136449</v>
      </c>
      <c r="AT29" s="141">
        <v>7042330</v>
      </c>
      <c r="AU29" s="141">
        <v>4407967</v>
      </c>
      <c r="AV29" s="141">
        <v>2817200</v>
      </c>
      <c r="AW29" s="258">
        <f>SUM(AK29:AV29)</f>
        <v>328816966</v>
      </c>
      <c r="AX29" s="285">
        <f>J29-W29</f>
        <v>0</v>
      </c>
      <c r="AY29" s="286">
        <f>W29-AJ29</f>
        <v>707355</v>
      </c>
      <c r="AZ29" s="280">
        <f>AJ29-AW29</f>
        <v>0</v>
      </c>
    </row>
    <row r="30" ht="13.5" thickBot="1"/>
    <row r="31" spans="1:52" ht="13.5" thickBot="1">
      <c r="A31" s="124" t="s">
        <v>194</v>
      </c>
      <c r="B31" s="125"/>
      <c r="C31" s="125"/>
      <c r="D31" s="125"/>
      <c r="E31" s="125"/>
      <c r="F31" s="125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127"/>
      <c r="AS31" s="127"/>
      <c r="AT31" s="127"/>
      <c r="AU31" s="127"/>
      <c r="AV31" s="127"/>
      <c r="AW31" s="127"/>
      <c r="AX31" s="127"/>
      <c r="AY31" s="127"/>
      <c r="AZ31" s="129"/>
    </row>
    <row r="32" ht="13.5" thickBot="1"/>
    <row r="33" spans="1:52" ht="30.75" customHeight="1" thickBot="1">
      <c r="A33" s="175" t="s">
        <v>174</v>
      </c>
      <c r="B33" s="176" t="s">
        <v>132</v>
      </c>
      <c r="C33" s="176" t="s">
        <v>132</v>
      </c>
      <c r="D33" s="176" t="s">
        <v>132</v>
      </c>
      <c r="E33" s="176" t="s">
        <v>132</v>
      </c>
      <c r="F33" s="176" t="s">
        <v>132</v>
      </c>
      <c r="G33" s="199" t="s">
        <v>195</v>
      </c>
      <c r="H33" s="178">
        <f aca="true" t="shared" si="36" ref="H33:X33">H34</f>
        <v>7083994994</v>
      </c>
      <c r="I33" s="179">
        <f t="shared" si="36"/>
        <v>0</v>
      </c>
      <c r="J33" s="180">
        <f t="shared" si="36"/>
        <v>7083994994</v>
      </c>
      <c r="K33" s="178">
        <f t="shared" si="36"/>
        <v>7083994994</v>
      </c>
      <c r="L33" s="179">
        <f t="shared" si="36"/>
        <v>0</v>
      </c>
      <c r="M33" s="179">
        <f t="shared" si="36"/>
        <v>0</v>
      </c>
      <c r="N33" s="179">
        <f t="shared" si="36"/>
        <v>0</v>
      </c>
      <c r="O33" s="179">
        <f t="shared" si="36"/>
        <v>0</v>
      </c>
      <c r="P33" s="179">
        <f t="shared" si="36"/>
        <v>0</v>
      </c>
      <c r="Q33" s="181">
        <f t="shared" si="36"/>
        <v>0</v>
      </c>
      <c r="R33" s="179">
        <f t="shared" si="36"/>
        <v>0</v>
      </c>
      <c r="S33" s="179">
        <f t="shared" si="36"/>
        <v>0</v>
      </c>
      <c r="T33" s="179">
        <f t="shared" si="36"/>
        <v>0</v>
      </c>
      <c r="U33" s="179">
        <f t="shared" si="36"/>
        <v>0</v>
      </c>
      <c r="V33" s="179">
        <f t="shared" si="36"/>
        <v>0</v>
      </c>
      <c r="W33" s="179">
        <f t="shared" si="36"/>
        <v>7083994994</v>
      </c>
      <c r="X33" s="179">
        <f t="shared" si="36"/>
        <v>0</v>
      </c>
      <c r="Y33" s="179">
        <f aca="true" t="shared" si="37" ref="Y33:AI33">Y34</f>
        <v>1780299420</v>
      </c>
      <c r="Z33" s="179">
        <f t="shared" si="37"/>
        <v>615108571</v>
      </c>
      <c r="AA33" s="179">
        <f t="shared" si="37"/>
        <v>511747983</v>
      </c>
      <c r="AB33" s="179">
        <f t="shared" si="37"/>
        <v>1085148173</v>
      </c>
      <c r="AC33" s="179">
        <f t="shared" si="37"/>
        <v>652191300</v>
      </c>
      <c r="AD33" s="181">
        <f t="shared" si="37"/>
        <v>1013951158</v>
      </c>
      <c r="AE33" s="179">
        <f t="shared" si="37"/>
        <v>604430869</v>
      </c>
      <c r="AF33" s="179">
        <f t="shared" si="37"/>
        <v>602847497</v>
      </c>
      <c r="AG33" s="179">
        <f t="shared" si="37"/>
        <v>88723876</v>
      </c>
      <c r="AH33" s="179">
        <f t="shared" si="37"/>
        <v>88702213</v>
      </c>
      <c r="AI33" s="179">
        <f t="shared" si="37"/>
        <v>565890</v>
      </c>
      <c r="AJ33" s="179">
        <f aca="true" t="shared" si="38" ref="AJ33:AZ33">AJ34</f>
        <v>7043716950</v>
      </c>
      <c r="AK33" s="178">
        <f t="shared" si="38"/>
        <v>0</v>
      </c>
      <c r="AL33" s="179">
        <f t="shared" si="38"/>
        <v>1780299420</v>
      </c>
      <c r="AM33" s="179">
        <f t="shared" si="38"/>
        <v>615108571</v>
      </c>
      <c r="AN33" s="179">
        <f t="shared" si="38"/>
        <v>511747983</v>
      </c>
      <c r="AO33" s="179">
        <f t="shared" si="38"/>
        <v>1085148173</v>
      </c>
      <c r="AP33" s="179">
        <f t="shared" si="38"/>
        <v>652191300</v>
      </c>
      <c r="AQ33" s="181">
        <f t="shared" si="38"/>
        <v>1013951158</v>
      </c>
      <c r="AR33" s="179">
        <f t="shared" si="38"/>
        <v>604430869</v>
      </c>
      <c r="AS33" s="179">
        <f t="shared" si="38"/>
        <v>602847497</v>
      </c>
      <c r="AT33" s="179">
        <f t="shared" si="38"/>
        <v>88723876</v>
      </c>
      <c r="AU33" s="179">
        <f t="shared" si="38"/>
        <v>88702213</v>
      </c>
      <c r="AV33" s="179">
        <f t="shared" si="38"/>
        <v>565890</v>
      </c>
      <c r="AW33" s="180">
        <f t="shared" si="38"/>
        <v>7043716950</v>
      </c>
      <c r="AX33" s="179">
        <f t="shared" si="38"/>
        <v>0</v>
      </c>
      <c r="AY33" s="247">
        <f t="shared" si="38"/>
        <v>40278044</v>
      </c>
      <c r="AZ33" s="180">
        <f t="shared" si="38"/>
        <v>0</v>
      </c>
    </row>
    <row r="34" spans="1:52" ht="30.75" customHeight="1">
      <c r="A34" s="182" t="s">
        <v>174</v>
      </c>
      <c r="B34" s="183" t="s">
        <v>134</v>
      </c>
      <c r="C34" s="183" t="s">
        <v>185</v>
      </c>
      <c r="D34" s="183" t="s">
        <v>132</v>
      </c>
      <c r="E34" s="183" t="s">
        <v>132</v>
      </c>
      <c r="F34" s="183" t="s">
        <v>132</v>
      </c>
      <c r="G34" s="200" t="s">
        <v>186</v>
      </c>
      <c r="H34" s="186">
        <f aca="true" t="shared" si="39" ref="H34:X34">SUM(H35:H39)</f>
        <v>7083994994</v>
      </c>
      <c r="I34" s="187">
        <f t="shared" si="39"/>
        <v>0</v>
      </c>
      <c r="J34" s="188">
        <f t="shared" si="39"/>
        <v>7083994994</v>
      </c>
      <c r="K34" s="186">
        <f t="shared" si="39"/>
        <v>7083994994</v>
      </c>
      <c r="L34" s="187">
        <f t="shared" si="39"/>
        <v>0</v>
      </c>
      <c r="M34" s="187">
        <f t="shared" si="39"/>
        <v>0</v>
      </c>
      <c r="N34" s="187">
        <f t="shared" si="39"/>
        <v>0</v>
      </c>
      <c r="O34" s="187">
        <f t="shared" si="39"/>
        <v>0</v>
      </c>
      <c r="P34" s="187">
        <f t="shared" si="39"/>
        <v>0</v>
      </c>
      <c r="Q34" s="189">
        <f t="shared" si="39"/>
        <v>0</v>
      </c>
      <c r="R34" s="187">
        <f t="shared" si="39"/>
        <v>0</v>
      </c>
      <c r="S34" s="187">
        <f t="shared" si="39"/>
        <v>0</v>
      </c>
      <c r="T34" s="187">
        <f t="shared" si="39"/>
        <v>0</v>
      </c>
      <c r="U34" s="187">
        <f t="shared" si="39"/>
        <v>0</v>
      </c>
      <c r="V34" s="187">
        <f t="shared" si="39"/>
        <v>0</v>
      </c>
      <c r="W34" s="187">
        <f t="shared" si="39"/>
        <v>7083994994</v>
      </c>
      <c r="X34" s="187">
        <f t="shared" si="39"/>
        <v>0</v>
      </c>
      <c r="Y34" s="187">
        <f aca="true" t="shared" si="40" ref="Y34:AI34">SUM(Y35:Y39)</f>
        <v>1780299420</v>
      </c>
      <c r="Z34" s="187">
        <f t="shared" si="40"/>
        <v>615108571</v>
      </c>
      <c r="AA34" s="187">
        <f t="shared" si="40"/>
        <v>511747983</v>
      </c>
      <c r="AB34" s="187">
        <f t="shared" si="40"/>
        <v>1085148173</v>
      </c>
      <c r="AC34" s="187">
        <f t="shared" si="40"/>
        <v>652191300</v>
      </c>
      <c r="AD34" s="189">
        <f t="shared" si="40"/>
        <v>1013951158</v>
      </c>
      <c r="AE34" s="187">
        <f t="shared" si="40"/>
        <v>604430869</v>
      </c>
      <c r="AF34" s="187">
        <f t="shared" si="40"/>
        <v>602847497</v>
      </c>
      <c r="AG34" s="187">
        <f t="shared" si="40"/>
        <v>88723876</v>
      </c>
      <c r="AH34" s="187">
        <f t="shared" si="40"/>
        <v>88702213</v>
      </c>
      <c r="AI34" s="187">
        <f t="shared" si="40"/>
        <v>565890</v>
      </c>
      <c r="AJ34" s="187">
        <f aca="true" t="shared" si="41" ref="AJ34:AZ34">SUM(AJ35:AJ39)</f>
        <v>7043716950</v>
      </c>
      <c r="AK34" s="186">
        <f t="shared" si="41"/>
        <v>0</v>
      </c>
      <c r="AL34" s="187">
        <f t="shared" si="41"/>
        <v>1780299420</v>
      </c>
      <c r="AM34" s="187">
        <f t="shared" si="41"/>
        <v>615108571</v>
      </c>
      <c r="AN34" s="187">
        <f t="shared" si="41"/>
        <v>511747983</v>
      </c>
      <c r="AO34" s="187">
        <f t="shared" si="41"/>
        <v>1085148173</v>
      </c>
      <c r="AP34" s="187">
        <f t="shared" si="41"/>
        <v>652191300</v>
      </c>
      <c r="AQ34" s="189">
        <f t="shared" si="41"/>
        <v>1013951158</v>
      </c>
      <c r="AR34" s="187">
        <f t="shared" si="41"/>
        <v>604430869</v>
      </c>
      <c r="AS34" s="187">
        <f t="shared" si="41"/>
        <v>602847497</v>
      </c>
      <c r="AT34" s="187">
        <f t="shared" si="41"/>
        <v>88723876</v>
      </c>
      <c r="AU34" s="187">
        <f t="shared" si="41"/>
        <v>88702213</v>
      </c>
      <c r="AV34" s="187">
        <f t="shared" si="41"/>
        <v>565890</v>
      </c>
      <c r="AW34" s="188">
        <f t="shared" si="41"/>
        <v>7043716950</v>
      </c>
      <c r="AX34" s="281">
        <f t="shared" si="41"/>
        <v>0</v>
      </c>
      <c r="AY34" s="282">
        <f t="shared" si="41"/>
        <v>40278044</v>
      </c>
      <c r="AZ34" s="274">
        <f t="shared" si="41"/>
        <v>0</v>
      </c>
    </row>
    <row r="35" spans="1:52" ht="30.75" customHeight="1">
      <c r="A35" s="136" t="s">
        <v>174</v>
      </c>
      <c r="B35" s="130" t="s">
        <v>134</v>
      </c>
      <c r="C35" s="130" t="s">
        <v>185</v>
      </c>
      <c r="D35" s="130" t="s">
        <v>196</v>
      </c>
      <c r="E35" s="130" t="s">
        <v>142</v>
      </c>
      <c r="F35" s="130" t="s">
        <v>197</v>
      </c>
      <c r="G35" s="287" t="s">
        <v>198</v>
      </c>
      <c r="H35" s="173">
        <v>1437551984</v>
      </c>
      <c r="I35" s="132">
        <v>0</v>
      </c>
      <c r="J35" s="257">
        <f>SUM(H35:I35)</f>
        <v>1437551984</v>
      </c>
      <c r="K35" s="173">
        <v>1437551984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3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265">
        <f>SUM(K35:V35)</f>
        <v>1437551984</v>
      </c>
      <c r="X35" s="132">
        <f aca="true" t="shared" si="42" ref="X35:AI39">AK35</f>
        <v>0</v>
      </c>
      <c r="Y35" s="132">
        <f t="shared" si="42"/>
        <v>1334319984</v>
      </c>
      <c r="Z35" s="132">
        <f t="shared" si="42"/>
        <v>0</v>
      </c>
      <c r="AA35" s="132">
        <f t="shared" si="42"/>
        <v>103232000</v>
      </c>
      <c r="AB35" s="132">
        <f t="shared" si="42"/>
        <v>0</v>
      </c>
      <c r="AC35" s="132">
        <f t="shared" si="42"/>
        <v>0</v>
      </c>
      <c r="AD35" s="133">
        <f t="shared" si="42"/>
        <v>0</v>
      </c>
      <c r="AE35" s="132">
        <f t="shared" si="42"/>
        <v>0</v>
      </c>
      <c r="AF35" s="132">
        <f t="shared" si="42"/>
        <v>0</v>
      </c>
      <c r="AG35" s="132">
        <f t="shared" si="42"/>
        <v>0</v>
      </c>
      <c r="AH35" s="132">
        <f t="shared" si="42"/>
        <v>0</v>
      </c>
      <c r="AI35" s="132">
        <f t="shared" si="42"/>
        <v>0</v>
      </c>
      <c r="AJ35" s="265">
        <f>SUM(X35:AI35)</f>
        <v>1437551984</v>
      </c>
      <c r="AK35" s="173">
        <v>0</v>
      </c>
      <c r="AL35" s="132">
        <v>1334319984</v>
      </c>
      <c r="AM35" s="132">
        <v>0</v>
      </c>
      <c r="AN35" s="132">
        <v>103232000</v>
      </c>
      <c r="AO35" s="132">
        <v>0</v>
      </c>
      <c r="AP35" s="132">
        <v>0</v>
      </c>
      <c r="AQ35" s="133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257">
        <f>SUM(AK35:AV35)</f>
        <v>1437551984</v>
      </c>
      <c r="AX35" s="283">
        <f>J35-W35</f>
        <v>0</v>
      </c>
      <c r="AY35" s="284">
        <f>W35-AJ35</f>
        <v>0</v>
      </c>
      <c r="AZ35" s="277">
        <f>AJ35-AW35</f>
        <v>0</v>
      </c>
    </row>
    <row r="36" spans="1:52" ht="30.75" customHeight="1">
      <c r="A36" s="136" t="s">
        <v>174</v>
      </c>
      <c r="B36" s="130" t="s">
        <v>134</v>
      </c>
      <c r="C36" s="130" t="s">
        <v>185</v>
      </c>
      <c r="D36" s="130" t="s">
        <v>189</v>
      </c>
      <c r="E36" s="130" t="s">
        <v>199</v>
      </c>
      <c r="F36" s="130" t="s">
        <v>197</v>
      </c>
      <c r="G36" s="287" t="s">
        <v>200</v>
      </c>
      <c r="H36" s="173">
        <v>2212052465</v>
      </c>
      <c r="I36" s="132">
        <v>0</v>
      </c>
      <c r="J36" s="257">
        <f>SUM(H36:I36)</f>
        <v>2212052465</v>
      </c>
      <c r="K36" s="173">
        <v>2212052465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3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265">
        <f>SUM(K36:V36)</f>
        <v>2212052465</v>
      </c>
      <c r="X36" s="132">
        <f t="shared" si="42"/>
        <v>0</v>
      </c>
      <c r="Y36" s="132">
        <f t="shared" si="42"/>
        <v>445979436</v>
      </c>
      <c r="Z36" s="132">
        <f t="shared" si="42"/>
        <v>511876571</v>
      </c>
      <c r="AA36" s="132">
        <f t="shared" si="42"/>
        <v>366975983</v>
      </c>
      <c r="AB36" s="132">
        <f t="shared" si="42"/>
        <v>173575943</v>
      </c>
      <c r="AC36" s="132">
        <f t="shared" si="42"/>
        <v>157536906</v>
      </c>
      <c r="AD36" s="133">
        <f t="shared" si="42"/>
        <v>376330462</v>
      </c>
      <c r="AE36" s="132">
        <f t="shared" si="42"/>
        <v>85300390</v>
      </c>
      <c r="AF36" s="132">
        <f t="shared" si="42"/>
        <v>38182840</v>
      </c>
      <c r="AG36" s="132">
        <f t="shared" si="42"/>
        <v>15450000</v>
      </c>
      <c r="AH36" s="132">
        <f t="shared" si="42"/>
        <v>0</v>
      </c>
      <c r="AI36" s="132">
        <f t="shared" si="42"/>
        <v>565890</v>
      </c>
      <c r="AJ36" s="265">
        <f>SUM(X36:AI36)</f>
        <v>2171774421</v>
      </c>
      <c r="AK36" s="173">
        <v>0</v>
      </c>
      <c r="AL36" s="132">
        <v>445979436</v>
      </c>
      <c r="AM36" s="132">
        <v>511876571</v>
      </c>
      <c r="AN36" s="132">
        <v>366975983</v>
      </c>
      <c r="AO36" s="132">
        <v>173575943</v>
      </c>
      <c r="AP36" s="132">
        <v>157536906</v>
      </c>
      <c r="AQ36" s="133">
        <v>376330462</v>
      </c>
      <c r="AR36" s="132">
        <v>85300390</v>
      </c>
      <c r="AS36" s="132">
        <v>38182840</v>
      </c>
      <c r="AT36" s="132">
        <f>15450000</f>
        <v>15450000</v>
      </c>
      <c r="AU36" s="132">
        <v>0</v>
      </c>
      <c r="AV36" s="132">
        <v>565890</v>
      </c>
      <c r="AW36" s="257">
        <f>SUM(AK36:AV36)</f>
        <v>2171774421</v>
      </c>
      <c r="AX36" s="283">
        <f>J36-W36</f>
        <v>0</v>
      </c>
      <c r="AY36" s="284">
        <f>W36-AJ36</f>
        <v>40278044</v>
      </c>
      <c r="AZ36" s="277">
        <f>AJ36-AW36</f>
        <v>0</v>
      </c>
    </row>
    <row r="37" spans="1:52" ht="30.75" customHeight="1">
      <c r="A37" s="136" t="s">
        <v>174</v>
      </c>
      <c r="B37" s="130" t="s">
        <v>134</v>
      </c>
      <c r="C37" s="130" t="s">
        <v>185</v>
      </c>
      <c r="D37" s="130" t="s">
        <v>189</v>
      </c>
      <c r="E37" s="130" t="s">
        <v>201</v>
      </c>
      <c r="F37" s="130" t="s">
        <v>197</v>
      </c>
      <c r="G37" s="287" t="s">
        <v>338</v>
      </c>
      <c r="H37" s="173">
        <v>3234637669</v>
      </c>
      <c r="I37" s="132">
        <v>0</v>
      </c>
      <c r="J37" s="257">
        <f>SUM(H37:I37)</f>
        <v>3234637669</v>
      </c>
      <c r="K37" s="173">
        <v>3234637669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3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265">
        <f>SUM(K37:V37)</f>
        <v>3234637669</v>
      </c>
      <c r="X37" s="132">
        <f t="shared" si="42"/>
        <v>0</v>
      </c>
      <c r="Y37" s="132">
        <f t="shared" si="42"/>
        <v>0</v>
      </c>
      <c r="Z37" s="132">
        <f t="shared" si="42"/>
        <v>103232000</v>
      </c>
      <c r="AA37" s="132">
        <f t="shared" si="42"/>
        <v>0</v>
      </c>
      <c r="AB37" s="132">
        <f t="shared" si="42"/>
        <v>908822230</v>
      </c>
      <c r="AC37" s="132">
        <f t="shared" si="42"/>
        <v>446029394</v>
      </c>
      <c r="AD37" s="133">
        <f t="shared" si="42"/>
        <v>637620696</v>
      </c>
      <c r="AE37" s="132">
        <f t="shared" si="42"/>
        <v>518185479</v>
      </c>
      <c r="AF37" s="132">
        <f t="shared" si="42"/>
        <v>564664657</v>
      </c>
      <c r="AG37" s="132">
        <f t="shared" si="42"/>
        <v>0</v>
      </c>
      <c r="AH37" s="132">
        <f t="shared" si="42"/>
        <v>56083213</v>
      </c>
      <c r="AI37" s="132">
        <f t="shared" si="42"/>
        <v>0</v>
      </c>
      <c r="AJ37" s="265">
        <f>SUM(X37:AI37)</f>
        <v>3234637669</v>
      </c>
      <c r="AK37" s="173">
        <v>0</v>
      </c>
      <c r="AL37" s="132">
        <v>0</v>
      </c>
      <c r="AM37" s="132">
        <v>103232000</v>
      </c>
      <c r="AN37" s="132">
        <v>0</v>
      </c>
      <c r="AO37" s="132">
        <v>908822230</v>
      </c>
      <c r="AP37" s="132">
        <v>446029394</v>
      </c>
      <c r="AQ37" s="133">
        <v>637620696</v>
      </c>
      <c r="AR37" s="132">
        <v>518185479</v>
      </c>
      <c r="AS37" s="132">
        <v>564664657</v>
      </c>
      <c r="AT37" s="132">
        <v>0</v>
      </c>
      <c r="AU37" s="132">
        <v>56083213</v>
      </c>
      <c r="AV37" s="132">
        <v>0</v>
      </c>
      <c r="AW37" s="257">
        <f>SUM(AK37:AV37)</f>
        <v>3234637669</v>
      </c>
      <c r="AX37" s="283">
        <f>J37-W37</f>
        <v>0</v>
      </c>
      <c r="AY37" s="284">
        <f>W37-AJ37</f>
        <v>0</v>
      </c>
      <c r="AZ37" s="277">
        <f>AJ37-AW37</f>
        <v>0</v>
      </c>
    </row>
    <row r="38" spans="1:52" ht="30.75" customHeight="1">
      <c r="A38" s="136" t="s">
        <v>174</v>
      </c>
      <c r="B38" s="130" t="s">
        <v>134</v>
      </c>
      <c r="C38" s="130" t="s">
        <v>185</v>
      </c>
      <c r="D38" s="130" t="s">
        <v>189</v>
      </c>
      <c r="E38" s="130" t="s">
        <v>202</v>
      </c>
      <c r="F38" s="130" t="s">
        <v>197</v>
      </c>
      <c r="G38" s="287" t="s">
        <v>203</v>
      </c>
      <c r="H38" s="173">
        <v>164884000</v>
      </c>
      <c r="I38" s="132">
        <v>0</v>
      </c>
      <c r="J38" s="257">
        <f>SUM(H38:I38)</f>
        <v>164884000</v>
      </c>
      <c r="K38" s="173">
        <v>164884000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3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265">
        <f>SUM(K38:V38)</f>
        <v>164884000</v>
      </c>
      <c r="X38" s="132">
        <f t="shared" si="42"/>
        <v>0</v>
      </c>
      <c r="Y38" s="132">
        <f t="shared" si="42"/>
        <v>0</v>
      </c>
      <c r="Z38" s="132">
        <f t="shared" si="42"/>
        <v>0</v>
      </c>
      <c r="AA38" s="132">
        <f t="shared" si="42"/>
        <v>20000000</v>
      </c>
      <c r="AB38" s="132">
        <f t="shared" si="42"/>
        <v>0</v>
      </c>
      <c r="AC38" s="132">
        <f t="shared" si="42"/>
        <v>48625000</v>
      </c>
      <c r="AD38" s="133">
        <f t="shared" si="42"/>
        <v>0</v>
      </c>
      <c r="AE38" s="132">
        <f t="shared" si="42"/>
        <v>945000</v>
      </c>
      <c r="AF38" s="132">
        <f t="shared" si="42"/>
        <v>0</v>
      </c>
      <c r="AG38" s="132">
        <f t="shared" si="42"/>
        <v>62695000</v>
      </c>
      <c r="AH38" s="132">
        <f t="shared" si="42"/>
        <v>32619000</v>
      </c>
      <c r="AI38" s="132">
        <f t="shared" si="42"/>
        <v>0</v>
      </c>
      <c r="AJ38" s="265">
        <f>SUM(X38:AI38)</f>
        <v>164884000</v>
      </c>
      <c r="AK38" s="173">
        <v>0</v>
      </c>
      <c r="AL38" s="132">
        <v>0</v>
      </c>
      <c r="AM38" s="132">
        <v>0</v>
      </c>
      <c r="AN38" s="132">
        <v>20000000</v>
      </c>
      <c r="AO38" s="132">
        <v>0</v>
      </c>
      <c r="AP38" s="132">
        <v>48625000</v>
      </c>
      <c r="AQ38" s="133">
        <v>0</v>
      </c>
      <c r="AR38" s="132">
        <v>945000</v>
      </c>
      <c r="AS38" s="132">
        <v>0</v>
      </c>
      <c r="AT38" s="132">
        <v>62695000</v>
      </c>
      <c r="AU38" s="132">
        <v>32619000</v>
      </c>
      <c r="AV38" s="132">
        <v>0</v>
      </c>
      <c r="AW38" s="257">
        <f>SUM(AK38:AV38)</f>
        <v>164884000</v>
      </c>
      <c r="AX38" s="283">
        <f>J38-W38</f>
        <v>0</v>
      </c>
      <c r="AY38" s="284">
        <f>W38-AJ38</f>
        <v>0</v>
      </c>
      <c r="AZ38" s="277">
        <f>AJ38-AW38</f>
        <v>0</v>
      </c>
    </row>
    <row r="39" spans="1:52" ht="30.75" customHeight="1" thickBot="1">
      <c r="A39" s="137" t="s">
        <v>174</v>
      </c>
      <c r="B39" s="138" t="s">
        <v>134</v>
      </c>
      <c r="C39" s="138" t="s">
        <v>185</v>
      </c>
      <c r="D39" s="138" t="s">
        <v>189</v>
      </c>
      <c r="E39" s="138" t="s">
        <v>204</v>
      </c>
      <c r="F39" s="138" t="s">
        <v>197</v>
      </c>
      <c r="G39" s="288" t="s">
        <v>205</v>
      </c>
      <c r="H39" s="174">
        <v>34868876</v>
      </c>
      <c r="I39" s="141">
        <v>0</v>
      </c>
      <c r="J39" s="258">
        <f>SUM(H39:I39)</f>
        <v>34868876</v>
      </c>
      <c r="K39" s="174">
        <v>34868876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2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266">
        <f>SUM(K39:V39)</f>
        <v>34868876</v>
      </c>
      <c r="X39" s="141">
        <f t="shared" si="42"/>
        <v>0</v>
      </c>
      <c r="Y39" s="141">
        <f t="shared" si="42"/>
        <v>0</v>
      </c>
      <c r="Z39" s="141">
        <f t="shared" si="42"/>
        <v>0</v>
      </c>
      <c r="AA39" s="141">
        <f t="shared" si="42"/>
        <v>21540000</v>
      </c>
      <c r="AB39" s="141">
        <f t="shared" si="42"/>
        <v>2750000</v>
      </c>
      <c r="AC39" s="141">
        <f t="shared" si="42"/>
        <v>0</v>
      </c>
      <c r="AD39" s="142">
        <f t="shared" si="42"/>
        <v>0</v>
      </c>
      <c r="AE39" s="141">
        <f t="shared" si="42"/>
        <v>0</v>
      </c>
      <c r="AF39" s="141">
        <f t="shared" si="42"/>
        <v>0</v>
      </c>
      <c r="AG39" s="141">
        <f t="shared" si="42"/>
        <v>10578876</v>
      </c>
      <c r="AH39" s="141">
        <f t="shared" si="42"/>
        <v>0</v>
      </c>
      <c r="AI39" s="141">
        <f t="shared" si="42"/>
        <v>0</v>
      </c>
      <c r="AJ39" s="266">
        <f>SUM(X39:AI39)</f>
        <v>34868876</v>
      </c>
      <c r="AK39" s="174">
        <v>0</v>
      </c>
      <c r="AL39" s="141">
        <v>0</v>
      </c>
      <c r="AM39" s="141">
        <v>0</v>
      </c>
      <c r="AN39" s="141">
        <v>21540000</v>
      </c>
      <c r="AO39" s="141">
        <v>2750000</v>
      </c>
      <c r="AP39" s="141">
        <v>0</v>
      </c>
      <c r="AQ39" s="142">
        <v>0</v>
      </c>
      <c r="AR39" s="141">
        <v>0</v>
      </c>
      <c r="AS39" s="141">
        <v>0</v>
      </c>
      <c r="AT39" s="141">
        <v>10578876</v>
      </c>
      <c r="AU39" s="141">
        <v>0</v>
      </c>
      <c r="AV39" s="141">
        <v>0</v>
      </c>
      <c r="AW39" s="258">
        <f>SUM(AK39:AV39)</f>
        <v>34868876</v>
      </c>
      <c r="AX39" s="285">
        <f>J39-W39</f>
        <v>0</v>
      </c>
      <c r="AY39" s="286">
        <f>W39-AJ39</f>
        <v>0</v>
      </c>
      <c r="AZ39" s="280">
        <f>AJ39-AW39</f>
        <v>0</v>
      </c>
    </row>
    <row r="41" spans="1:52" ht="12.75">
      <c r="A41" s="100" t="s">
        <v>206</v>
      </c>
      <c r="B41" s="100"/>
      <c r="C41" s="100"/>
      <c r="D41" s="100"/>
      <c r="E41" s="100"/>
      <c r="F41" s="100"/>
      <c r="G41" s="105"/>
      <c r="H41" s="99"/>
      <c r="I41" s="99"/>
      <c r="J41" s="99"/>
      <c r="K41" s="99"/>
      <c r="L41" s="99"/>
      <c r="M41" s="99"/>
      <c r="N41" s="99"/>
      <c r="O41" s="99"/>
      <c r="P41" s="99"/>
      <c r="Q41" s="106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6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106"/>
      <c r="AR41" s="99"/>
      <c r="AS41" s="99"/>
      <c r="AT41" s="99"/>
      <c r="AU41" s="99"/>
      <c r="AV41" s="99"/>
      <c r="AW41" s="99"/>
      <c r="AX41" s="99"/>
      <c r="AY41" s="99"/>
      <c r="AZ41" s="99"/>
    </row>
    <row r="42" ht="13.5" thickBot="1"/>
    <row r="43" spans="1:52" ht="12.75">
      <c r="A43" s="37"/>
      <c r="B43" s="37"/>
      <c r="C43" s="37"/>
      <c r="D43" s="37"/>
      <c r="E43" s="37"/>
      <c r="F43" s="37"/>
      <c r="G43" s="201" t="s">
        <v>207</v>
      </c>
      <c r="H43" s="221">
        <f aca="true" t="shared" si="43" ref="H43:AZ43">H10+H21</f>
        <v>5330501782</v>
      </c>
      <c r="I43" s="202">
        <f t="shared" si="43"/>
        <v>0</v>
      </c>
      <c r="J43" s="204">
        <f t="shared" si="43"/>
        <v>5330501782</v>
      </c>
      <c r="K43" s="221">
        <f t="shared" si="43"/>
        <v>5330501782</v>
      </c>
      <c r="L43" s="202">
        <f t="shared" si="43"/>
        <v>0</v>
      </c>
      <c r="M43" s="202">
        <f t="shared" si="43"/>
        <v>0</v>
      </c>
      <c r="N43" s="202">
        <f t="shared" si="43"/>
        <v>0</v>
      </c>
      <c r="O43" s="202">
        <f t="shared" si="43"/>
        <v>0</v>
      </c>
      <c r="P43" s="202">
        <f t="shared" si="43"/>
        <v>0</v>
      </c>
      <c r="Q43" s="203">
        <f t="shared" si="43"/>
        <v>0</v>
      </c>
      <c r="R43" s="202">
        <f t="shared" si="43"/>
        <v>0</v>
      </c>
      <c r="S43" s="202">
        <f t="shared" si="43"/>
        <v>0</v>
      </c>
      <c r="T43" s="202">
        <f t="shared" si="43"/>
        <v>0</v>
      </c>
      <c r="U43" s="202">
        <f t="shared" si="43"/>
        <v>0</v>
      </c>
      <c r="V43" s="202">
        <f t="shared" si="43"/>
        <v>0</v>
      </c>
      <c r="W43" s="204">
        <f t="shared" si="43"/>
        <v>5330501782</v>
      </c>
      <c r="X43" s="221">
        <f t="shared" si="43"/>
        <v>23796492</v>
      </c>
      <c r="Y43" s="202">
        <f t="shared" si="43"/>
        <v>3302398936</v>
      </c>
      <c r="Z43" s="202">
        <f t="shared" si="43"/>
        <v>1388203747</v>
      </c>
      <c r="AA43" s="202">
        <f t="shared" si="43"/>
        <v>250856261</v>
      </c>
      <c r="AB43" s="202">
        <f t="shared" si="43"/>
        <v>52997910</v>
      </c>
      <c r="AC43" s="202">
        <f t="shared" si="43"/>
        <v>3760163</v>
      </c>
      <c r="AD43" s="203">
        <f t="shared" si="43"/>
        <v>130408240</v>
      </c>
      <c r="AE43" s="202">
        <f t="shared" si="43"/>
        <v>58903414</v>
      </c>
      <c r="AF43" s="202">
        <f t="shared" si="43"/>
        <v>36752226</v>
      </c>
      <c r="AG43" s="202">
        <f t="shared" si="43"/>
        <v>7120680</v>
      </c>
      <c r="AH43" s="202">
        <f t="shared" si="43"/>
        <v>4407967</v>
      </c>
      <c r="AI43" s="202">
        <f t="shared" si="43"/>
        <v>24823696</v>
      </c>
      <c r="AJ43" s="204">
        <f t="shared" si="43"/>
        <v>5284429732</v>
      </c>
      <c r="AK43" s="202">
        <f t="shared" si="43"/>
        <v>23796492</v>
      </c>
      <c r="AL43" s="202">
        <f t="shared" si="43"/>
        <v>3302398936</v>
      </c>
      <c r="AM43" s="202">
        <f t="shared" si="43"/>
        <v>1388203747</v>
      </c>
      <c r="AN43" s="202">
        <f t="shared" si="43"/>
        <v>250856261</v>
      </c>
      <c r="AO43" s="202">
        <f t="shared" si="43"/>
        <v>52997910</v>
      </c>
      <c r="AP43" s="202">
        <f t="shared" si="43"/>
        <v>3760163</v>
      </c>
      <c r="AQ43" s="203">
        <f t="shared" si="43"/>
        <v>130408240</v>
      </c>
      <c r="AR43" s="202">
        <f t="shared" si="43"/>
        <v>58903414</v>
      </c>
      <c r="AS43" s="202">
        <f t="shared" si="43"/>
        <v>36752226</v>
      </c>
      <c r="AT43" s="202">
        <f t="shared" si="43"/>
        <v>7120680</v>
      </c>
      <c r="AU43" s="202">
        <f t="shared" si="43"/>
        <v>4407967</v>
      </c>
      <c r="AV43" s="202">
        <f t="shared" si="43"/>
        <v>24823696</v>
      </c>
      <c r="AW43" s="202">
        <f t="shared" si="43"/>
        <v>5284429732</v>
      </c>
      <c r="AX43" s="221">
        <f t="shared" si="43"/>
        <v>0</v>
      </c>
      <c r="AY43" s="248">
        <f t="shared" si="43"/>
        <v>46072050</v>
      </c>
      <c r="AZ43" s="204">
        <f t="shared" si="43"/>
        <v>0</v>
      </c>
    </row>
    <row r="44" spans="1:52" ht="13.5" thickBot="1">
      <c r="A44" s="37"/>
      <c r="B44" s="37"/>
      <c r="C44" s="37"/>
      <c r="D44" s="37"/>
      <c r="E44" s="37"/>
      <c r="F44" s="37"/>
      <c r="G44" s="205" t="s">
        <v>208</v>
      </c>
      <c r="H44" s="222">
        <f aca="true" t="shared" si="44" ref="H44:AB44">H33</f>
        <v>7083994994</v>
      </c>
      <c r="I44" s="206">
        <f t="shared" si="44"/>
        <v>0</v>
      </c>
      <c r="J44" s="208">
        <f t="shared" si="44"/>
        <v>7083994994</v>
      </c>
      <c r="K44" s="222">
        <f t="shared" si="44"/>
        <v>7083994994</v>
      </c>
      <c r="L44" s="206">
        <f t="shared" si="44"/>
        <v>0</v>
      </c>
      <c r="M44" s="206">
        <f t="shared" si="44"/>
        <v>0</v>
      </c>
      <c r="N44" s="206">
        <f t="shared" si="44"/>
        <v>0</v>
      </c>
      <c r="O44" s="206">
        <f t="shared" si="44"/>
        <v>0</v>
      </c>
      <c r="P44" s="206">
        <f t="shared" si="44"/>
        <v>0</v>
      </c>
      <c r="Q44" s="207">
        <f t="shared" si="44"/>
        <v>0</v>
      </c>
      <c r="R44" s="206">
        <f t="shared" si="44"/>
        <v>0</v>
      </c>
      <c r="S44" s="206">
        <f t="shared" si="44"/>
        <v>0</v>
      </c>
      <c r="T44" s="206">
        <f t="shared" si="44"/>
        <v>0</v>
      </c>
      <c r="U44" s="206">
        <f t="shared" si="44"/>
        <v>0</v>
      </c>
      <c r="V44" s="206">
        <f t="shared" si="44"/>
        <v>0</v>
      </c>
      <c r="W44" s="208">
        <f t="shared" si="44"/>
        <v>7083994994</v>
      </c>
      <c r="X44" s="222">
        <f t="shared" si="44"/>
        <v>0</v>
      </c>
      <c r="Y44" s="206">
        <f t="shared" si="44"/>
        <v>1780299420</v>
      </c>
      <c r="Z44" s="206">
        <f t="shared" si="44"/>
        <v>615108571</v>
      </c>
      <c r="AA44" s="206">
        <f t="shared" si="44"/>
        <v>511747983</v>
      </c>
      <c r="AB44" s="206">
        <f t="shared" si="44"/>
        <v>1085148173</v>
      </c>
      <c r="AC44" s="206">
        <f aca="true" t="shared" si="45" ref="AC44:AZ44">AC33</f>
        <v>652191300</v>
      </c>
      <c r="AD44" s="207">
        <f t="shared" si="45"/>
        <v>1013951158</v>
      </c>
      <c r="AE44" s="206">
        <f t="shared" si="45"/>
        <v>604430869</v>
      </c>
      <c r="AF44" s="206">
        <f t="shared" si="45"/>
        <v>602847497</v>
      </c>
      <c r="AG44" s="206">
        <f t="shared" si="45"/>
        <v>88723876</v>
      </c>
      <c r="AH44" s="206">
        <f t="shared" si="45"/>
        <v>88702213</v>
      </c>
      <c r="AI44" s="206">
        <f t="shared" si="45"/>
        <v>565890</v>
      </c>
      <c r="AJ44" s="208">
        <f t="shared" si="45"/>
        <v>7043716950</v>
      </c>
      <c r="AK44" s="206">
        <f t="shared" si="45"/>
        <v>0</v>
      </c>
      <c r="AL44" s="206">
        <f t="shared" si="45"/>
        <v>1780299420</v>
      </c>
      <c r="AM44" s="206">
        <f t="shared" si="45"/>
        <v>615108571</v>
      </c>
      <c r="AN44" s="206">
        <f t="shared" si="45"/>
        <v>511747983</v>
      </c>
      <c r="AO44" s="206">
        <f t="shared" si="45"/>
        <v>1085148173</v>
      </c>
      <c r="AP44" s="206">
        <f t="shared" si="45"/>
        <v>652191300</v>
      </c>
      <c r="AQ44" s="207">
        <f t="shared" si="45"/>
        <v>1013951158</v>
      </c>
      <c r="AR44" s="206">
        <f t="shared" si="45"/>
        <v>604430869</v>
      </c>
      <c r="AS44" s="206">
        <f t="shared" si="45"/>
        <v>602847497</v>
      </c>
      <c r="AT44" s="206">
        <f t="shared" si="45"/>
        <v>88723876</v>
      </c>
      <c r="AU44" s="206">
        <f t="shared" si="45"/>
        <v>88702213</v>
      </c>
      <c r="AV44" s="206">
        <f t="shared" si="45"/>
        <v>565890</v>
      </c>
      <c r="AW44" s="206">
        <f t="shared" si="45"/>
        <v>7043716950</v>
      </c>
      <c r="AX44" s="222">
        <f t="shared" si="45"/>
        <v>0</v>
      </c>
      <c r="AY44" s="249">
        <f t="shared" si="45"/>
        <v>40278044</v>
      </c>
      <c r="AZ44" s="208">
        <f t="shared" si="45"/>
        <v>0</v>
      </c>
    </row>
    <row r="45" ht="13.5" thickBot="1"/>
    <row r="46" spans="1:52" ht="12.75">
      <c r="A46" s="37"/>
      <c r="B46" s="37"/>
      <c r="C46" s="37"/>
      <c r="D46" s="37"/>
      <c r="E46" s="37"/>
      <c r="F46" s="37"/>
      <c r="G46" s="209" t="s">
        <v>133</v>
      </c>
      <c r="H46" s="223">
        <f aca="true" t="shared" si="46" ref="H46:AB46">H10</f>
        <v>320956140</v>
      </c>
      <c r="I46" s="210">
        <f t="shared" si="46"/>
        <v>0</v>
      </c>
      <c r="J46" s="212">
        <f t="shared" si="46"/>
        <v>320956140</v>
      </c>
      <c r="K46" s="223">
        <f t="shared" si="46"/>
        <v>320956140</v>
      </c>
      <c r="L46" s="210">
        <f t="shared" si="46"/>
        <v>0</v>
      </c>
      <c r="M46" s="210">
        <f t="shared" si="46"/>
        <v>0</v>
      </c>
      <c r="N46" s="210">
        <f t="shared" si="46"/>
        <v>0</v>
      </c>
      <c r="O46" s="210">
        <f t="shared" si="46"/>
        <v>0</v>
      </c>
      <c r="P46" s="210">
        <f t="shared" si="46"/>
        <v>0</v>
      </c>
      <c r="Q46" s="211">
        <f t="shared" si="46"/>
        <v>0</v>
      </c>
      <c r="R46" s="210">
        <f t="shared" si="46"/>
        <v>0</v>
      </c>
      <c r="S46" s="210">
        <f t="shared" si="46"/>
        <v>0</v>
      </c>
      <c r="T46" s="210">
        <f t="shared" si="46"/>
        <v>0</v>
      </c>
      <c r="U46" s="210">
        <f t="shared" si="46"/>
        <v>0</v>
      </c>
      <c r="V46" s="210">
        <f t="shared" si="46"/>
        <v>0</v>
      </c>
      <c r="W46" s="212">
        <f t="shared" si="46"/>
        <v>320956140</v>
      </c>
      <c r="X46" s="223">
        <f t="shared" si="46"/>
        <v>23796492</v>
      </c>
      <c r="Y46" s="210">
        <f t="shared" si="46"/>
        <v>155482380</v>
      </c>
      <c r="Z46" s="210">
        <f t="shared" si="46"/>
        <v>53433093</v>
      </c>
      <c r="AA46" s="210">
        <f t="shared" si="46"/>
        <v>42551300</v>
      </c>
      <c r="AB46" s="210">
        <f t="shared" si="46"/>
        <v>19552368</v>
      </c>
      <c r="AC46" s="210">
        <f aca="true" t="shared" si="47" ref="AC46:AZ46">AC10</f>
        <v>180673</v>
      </c>
      <c r="AD46" s="211">
        <f t="shared" si="47"/>
        <v>0</v>
      </c>
      <c r="AE46" s="210">
        <f t="shared" si="47"/>
        <v>1434290</v>
      </c>
      <c r="AF46" s="210">
        <f t="shared" si="47"/>
        <v>0</v>
      </c>
      <c r="AG46" s="210">
        <f t="shared" si="47"/>
        <v>0</v>
      </c>
      <c r="AH46" s="210">
        <f t="shared" si="47"/>
        <v>0</v>
      </c>
      <c r="AI46" s="210">
        <f t="shared" si="47"/>
        <v>9744</v>
      </c>
      <c r="AJ46" s="212">
        <f t="shared" si="47"/>
        <v>296440340</v>
      </c>
      <c r="AK46" s="223">
        <f t="shared" si="47"/>
        <v>23796492</v>
      </c>
      <c r="AL46" s="210">
        <f t="shared" si="47"/>
        <v>155482380</v>
      </c>
      <c r="AM46" s="210">
        <f t="shared" si="47"/>
        <v>53433093</v>
      </c>
      <c r="AN46" s="210">
        <f t="shared" si="47"/>
        <v>42551300</v>
      </c>
      <c r="AO46" s="210">
        <f t="shared" si="47"/>
        <v>19552368</v>
      </c>
      <c r="AP46" s="210">
        <f t="shared" si="47"/>
        <v>180673</v>
      </c>
      <c r="AQ46" s="211">
        <f t="shared" si="47"/>
        <v>0</v>
      </c>
      <c r="AR46" s="210">
        <f t="shared" si="47"/>
        <v>1434290</v>
      </c>
      <c r="AS46" s="210">
        <f t="shared" si="47"/>
        <v>0</v>
      </c>
      <c r="AT46" s="210">
        <f t="shared" si="47"/>
        <v>0</v>
      </c>
      <c r="AU46" s="210">
        <f t="shared" si="47"/>
        <v>0</v>
      </c>
      <c r="AV46" s="210">
        <f t="shared" si="47"/>
        <v>9744</v>
      </c>
      <c r="AW46" s="212">
        <f t="shared" si="47"/>
        <v>296440340</v>
      </c>
      <c r="AX46" s="223">
        <f t="shared" si="47"/>
        <v>0</v>
      </c>
      <c r="AY46" s="250">
        <f t="shared" si="47"/>
        <v>24515800</v>
      </c>
      <c r="AZ46" s="212">
        <f t="shared" si="47"/>
        <v>0</v>
      </c>
    </row>
    <row r="47" spans="1:52" ht="13.5" thickBot="1">
      <c r="A47" s="37"/>
      <c r="B47" s="37"/>
      <c r="C47" s="37"/>
      <c r="D47" s="37"/>
      <c r="E47" s="37"/>
      <c r="F47" s="37"/>
      <c r="G47" s="213" t="s">
        <v>175</v>
      </c>
      <c r="H47" s="224">
        <f aca="true" t="shared" si="48" ref="H47:AB47">H17</f>
        <v>12093540636</v>
      </c>
      <c r="I47" s="214">
        <f t="shared" si="48"/>
        <v>0</v>
      </c>
      <c r="J47" s="216">
        <f t="shared" si="48"/>
        <v>12093540636</v>
      </c>
      <c r="K47" s="224">
        <f t="shared" si="48"/>
        <v>12093540636</v>
      </c>
      <c r="L47" s="214">
        <f t="shared" si="48"/>
        <v>0</v>
      </c>
      <c r="M47" s="214">
        <f t="shared" si="48"/>
        <v>0</v>
      </c>
      <c r="N47" s="214">
        <f t="shared" si="48"/>
        <v>0</v>
      </c>
      <c r="O47" s="214">
        <f t="shared" si="48"/>
        <v>0</v>
      </c>
      <c r="P47" s="214">
        <f t="shared" si="48"/>
        <v>0</v>
      </c>
      <c r="Q47" s="215">
        <f t="shared" si="48"/>
        <v>0</v>
      </c>
      <c r="R47" s="214">
        <f t="shared" si="48"/>
        <v>0</v>
      </c>
      <c r="S47" s="214">
        <f t="shared" si="48"/>
        <v>0</v>
      </c>
      <c r="T47" s="214">
        <f t="shared" si="48"/>
        <v>0</v>
      </c>
      <c r="U47" s="214">
        <f t="shared" si="48"/>
        <v>0</v>
      </c>
      <c r="V47" s="214">
        <f t="shared" si="48"/>
        <v>0</v>
      </c>
      <c r="W47" s="216">
        <f t="shared" si="48"/>
        <v>12093540636</v>
      </c>
      <c r="X47" s="224">
        <f t="shared" si="48"/>
        <v>0</v>
      </c>
      <c r="Y47" s="214">
        <f t="shared" si="48"/>
        <v>4927215976</v>
      </c>
      <c r="Z47" s="214">
        <f t="shared" si="48"/>
        <v>1949879225</v>
      </c>
      <c r="AA47" s="214">
        <f t="shared" si="48"/>
        <v>720052944</v>
      </c>
      <c r="AB47" s="214">
        <f t="shared" si="48"/>
        <v>1118593715</v>
      </c>
      <c r="AC47" s="214">
        <f aca="true" t="shared" si="49" ref="AC47:AZ47">AC17</f>
        <v>655770790</v>
      </c>
      <c r="AD47" s="215">
        <f t="shared" si="49"/>
        <v>1144359398</v>
      </c>
      <c r="AE47" s="214">
        <f t="shared" si="49"/>
        <v>661899993</v>
      </c>
      <c r="AF47" s="214">
        <f t="shared" si="49"/>
        <v>639599723</v>
      </c>
      <c r="AG47" s="214">
        <f t="shared" si="49"/>
        <v>95844556</v>
      </c>
      <c r="AH47" s="214">
        <f t="shared" si="49"/>
        <v>93110180</v>
      </c>
      <c r="AI47" s="214">
        <f t="shared" si="49"/>
        <v>25379842</v>
      </c>
      <c r="AJ47" s="216">
        <f t="shared" si="49"/>
        <v>12031706342</v>
      </c>
      <c r="AK47" s="224">
        <f t="shared" si="49"/>
        <v>0</v>
      </c>
      <c r="AL47" s="214">
        <f t="shared" si="49"/>
        <v>4927215976</v>
      </c>
      <c r="AM47" s="214">
        <f t="shared" si="49"/>
        <v>1949879225</v>
      </c>
      <c r="AN47" s="214">
        <f t="shared" si="49"/>
        <v>720052944</v>
      </c>
      <c r="AO47" s="214">
        <f t="shared" si="49"/>
        <v>1118593715</v>
      </c>
      <c r="AP47" s="214">
        <f t="shared" si="49"/>
        <v>655770790</v>
      </c>
      <c r="AQ47" s="215">
        <f t="shared" si="49"/>
        <v>1144359398</v>
      </c>
      <c r="AR47" s="214">
        <f t="shared" si="49"/>
        <v>661899993</v>
      </c>
      <c r="AS47" s="214">
        <f t="shared" si="49"/>
        <v>639599723</v>
      </c>
      <c r="AT47" s="214">
        <f t="shared" si="49"/>
        <v>95844556</v>
      </c>
      <c r="AU47" s="214">
        <f t="shared" si="49"/>
        <v>93110180</v>
      </c>
      <c r="AV47" s="214">
        <f t="shared" si="49"/>
        <v>25379842</v>
      </c>
      <c r="AW47" s="216">
        <f t="shared" si="49"/>
        <v>12031706342</v>
      </c>
      <c r="AX47" s="224">
        <f t="shared" si="49"/>
        <v>0</v>
      </c>
      <c r="AY47" s="251">
        <f t="shared" si="49"/>
        <v>61834294</v>
      </c>
      <c r="AZ47" s="216">
        <f t="shared" si="49"/>
        <v>0</v>
      </c>
    </row>
    <row r="48" ht="13.5" thickBot="1"/>
    <row r="49" spans="1:52" ht="13.5" thickBot="1">
      <c r="A49" s="37"/>
      <c r="B49" s="37"/>
      <c r="C49" s="37"/>
      <c r="D49" s="37"/>
      <c r="E49" s="37"/>
      <c r="F49" s="37"/>
      <c r="G49" s="217" t="s">
        <v>209</v>
      </c>
      <c r="H49" s="225">
        <f aca="true" t="shared" si="50" ref="H49:AB49">SUM(H43:H47)/2</f>
        <v>12414496776</v>
      </c>
      <c r="I49" s="218">
        <f t="shared" si="50"/>
        <v>0</v>
      </c>
      <c r="J49" s="220">
        <f t="shared" si="50"/>
        <v>12414496776</v>
      </c>
      <c r="K49" s="225">
        <f t="shared" si="50"/>
        <v>12414496776</v>
      </c>
      <c r="L49" s="218">
        <f t="shared" si="50"/>
        <v>0</v>
      </c>
      <c r="M49" s="218">
        <f t="shared" si="50"/>
        <v>0</v>
      </c>
      <c r="N49" s="218">
        <f t="shared" si="50"/>
        <v>0</v>
      </c>
      <c r="O49" s="218">
        <f t="shared" si="50"/>
        <v>0</v>
      </c>
      <c r="P49" s="218">
        <f t="shared" si="50"/>
        <v>0</v>
      </c>
      <c r="Q49" s="219">
        <f t="shared" si="50"/>
        <v>0</v>
      </c>
      <c r="R49" s="218">
        <f t="shared" si="50"/>
        <v>0</v>
      </c>
      <c r="S49" s="218">
        <f t="shared" si="50"/>
        <v>0</v>
      </c>
      <c r="T49" s="218">
        <f t="shared" si="50"/>
        <v>0</v>
      </c>
      <c r="U49" s="218">
        <f t="shared" si="50"/>
        <v>0</v>
      </c>
      <c r="V49" s="218">
        <f t="shared" si="50"/>
        <v>0</v>
      </c>
      <c r="W49" s="220">
        <f t="shared" si="50"/>
        <v>12414496776</v>
      </c>
      <c r="X49" s="225">
        <f t="shared" si="50"/>
        <v>23796492</v>
      </c>
      <c r="Y49" s="218">
        <f t="shared" si="50"/>
        <v>5082698356</v>
      </c>
      <c r="Z49" s="218">
        <f t="shared" si="50"/>
        <v>2003312318</v>
      </c>
      <c r="AA49" s="218">
        <f t="shared" si="50"/>
        <v>762604244</v>
      </c>
      <c r="AB49" s="218">
        <f t="shared" si="50"/>
        <v>1138146083</v>
      </c>
      <c r="AC49" s="218">
        <f aca="true" t="shared" si="51" ref="AC49:AZ49">SUM(AC43:AC47)/2</f>
        <v>655951463</v>
      </c>
      <c r="AD49" s="219">
        <f t="shared" si="51"/>
        <v>1144359398</v>
      </c>
      <c r="AE49" s="218">
        <f t="shared" si="51"/>
        <v>663334283</v>
      </c>
      <c r="AF49" s="218">
        <f t="shared" si="51"/>
        <v>639599723</v>
      </c>
      <c r="AG49" s="218">
        <f t="shared" si="51"/>
        <v>95844556</v>
      </c>
      <c r="AH49" s="218">
        <f t="shared" si="51"/>
        <v>93110180</v>
      </c>
      <c r="AI49" s="218">
        <f t="shared" si="51"/>
        <v>25389586</v>
      </c>
      <c r="AJ49" s="220">
        <f t="shared" si="51"/>
        <v>12328146682</v>
      </c>
      <c r="AK49" s="225">
        <f t="shared" si="51"/>
        <v>23796492</v>
      </c>
      <c r="AL49" s="218">
        <f t="shared" si="51"/>
        <v>5082698356</v>
      </c>
      <c r="AM49" s="218">
        <f t="shared" si="51"/>
        <v>2003312318</v>
      </c>
      <c r="AN49" s="218">
        <f t="shared" si="51"/>
        <v>762604244</v>
      </c>
      <c r="AO49" s="218">
        <f t="shared" si="51"/>
        <v>1138146083</v>
      </c>
      <c r="AP49" s="218">
        <f t="shared" si="51"/>
        <v>655951463</v>
      </c>
      <c r="AQ49" s="219">
        <f t="shared" si="51"/>
        <v>1144359398</v>
      </c>
      <c r="AR49" s="218">
        <f t="shared" si="51"/>
        <v>663334283</v>
      </c>
      <c r="AS49" s="218">
        <f t="shared" si="51"/>
        <v>639599723</v>
      </c>
      <c r="AT49" s="218">
        <f t="shared" si="51"/>
        <v>95844556</v>
      </c>
      <c r="AU49" s="218">
        <f t="shared" si="51"/>
        <v>93110180</v>
      </c>
      <c r="AV49" s="218">
        <f t="shared" si="51"/>
        <v>25389586</v>
      </c>
      <c r="AW49" s="220">
        <f t="shared" si="51"/>
        <v>12328146682</v>
      </c>
      <c r="AX49" s="225">
        <f t="shared" si="51"/>
        <v>0</v>
      </c>
      <c r="AY49" s="252">
        <f t="shared" si="51"/>
        <v>86350094</v>
      </c>
      <c r="AZ49" s="220">
        <f t="shared" si="51"/>
        <v>0</v>
      </c>
    </row>
  </sheetData>
  <printOptions horizontalCentered="1" verticalCentered="1"/>
  <pageMargins left="0.4724409448818898" right="0.4724409448818898" top="0.69" bottom="0.7086614173228347" header="0.37" footer="0.32"/>
  <pageSetup fitToHeight="2" horizontalDpi="300" verticalDpi="300" orientation="landscape" paperSize="9" scale="45" r:id="rId2"/>
  <headerFooter alignWithMargins="0">
    <oddHeader>&amp;LGPR-&amp;D&amp;C&amp;16INFORME EJECUCIÓN DE GASTOS - RESERVAS PRESUPUESTALES&amp;RPág. &amp;P/&amp;N</oddHeader>
    <oddFooter xml:space="preserve">&amp;L&amp;16JORGE NELSON GAITÁN LEÓN
Jefe de Presupuesto&amp;C&amp;16MARTA LUCIA VILLEGAS BOTERO
Directora General &amp;R&amp;16JOSE LUIS ACERO COLMENARES
 Subdirector Financiero </oddFooter>
  </headerFooter>
  <rowBreaks count="1" manualBreakCount="1">
    <brk id="49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7109375" style="0" customWidth="1"/>
    <col min="3" max="3" width="12.8515625" style="0" customWidth="1"/>
    <col min="5" max="5" width="12.421875" style="0" customWidth="1"/>
    <col min="6" max="6" width="22.28125" style="0" customWidth="1"/>
  </cols>
  <sheetData>
    <row r="1" ht="13.5" thickBot="1"/>
    <row r="2" spans="1:6" ht="15.75">
      <c r="A2" s="413" t="s">
        <v>244</v>
      </c>
      <c r="B2" s="414"/>
      <c r="C2" s="414"/>
      <c r="D2" s="414"/>
      <c r="E2" s="414"/>
      <c r="F2" s="415"/>
    </row>
    <row r="3" spans="1:6" ht="12.75">
      <c r="A3" s="416"/>
      <c r="B3" s="417"/>
      <c r="C3" s="417"/>
      <c r="D3" s="417"/>
      <c r="E3" s="417"/>
      <c r="F3" s="418"/>
    </row>
    <row r="4" spans="1:6" ht="12.75">
      <c r="A4" s="419" t="s">
        <v>245</v>
      </c>
      <c r="B4" s="420"/>
      <c r="C4" s="420"/>
      <c r="D4" s="420"/>
      <c r="E4" s="420"/>
      <c r="F4" s="421"/>
    </row>
    <row r="5" spans="1:6" ht="12.75">
      <c r="A5" s="419" t="s">
        <v>255</v>
      </c>
      <c r="B5" s="420"/>
      <c r="C5" s="420"/>
      <c r="D5" s="420"/>
      <c r="E5" s="420"/>
      <c r="F5" s="421"/>
    </row>
    <row r="6" spans="1:6" ht="12.75">
      <c r="A6" s="416"/>
      <c r="B6" s="417"/>
      <c r="C6" s="417"/>
      <c r="D6" s="417"/>
      <c r="E6" s="417"/>
      <c r="F6" s="418"/>
    </row>
    <row r="7" spans="1:6" ht="12.75">
      <c r="A7" s="416" t="s">
        <v>246</v>
      </c>
      <c r="B7" s="417"/>
      <c r="C7" s="417"/>
      <c r="D7" s="417"/>
      <c r="E7" s="417"/>
      <c r="F7" s="431" t="s">
        <v>266</v>
      </c>
    </row>
    <row r="8" spans="1:6" ht="13.5" thickBot="1">
      <c r="A8" s="426" t="s">
        <v>342</v>
      </c>
      <c r="B8" s="427"/>
      <c r="C8" s="427"/>
      <c r="D8" s="427"/>
      <c r="E8" s="427"/>
      <c r="F8" s="439">
        <f ca="1">TODAY()</f>
        <v>37837</v>
      </c>
    </row>
    <row r="9" spans="1:6" ht="13.5" thickBot="1">
      <c r="A9" s="416"/>
      <c r="B9" s="417"/>
      <c r="C9" s="417"/>
      <c r="D9" s="417"/>
      <c r="E9" s="417"/>
      <c r="F9" s="418"/>
    </row>
    <row r="10" spans="1:7" ht="36.75" thickBot="1">
      <c r="A10" s="428" t="s">
        <v>247</v>
      </c>
      <c r="B10" s="429" t="s">
        <v>248</v>
      </c>
      <c r="C10" s="429" t="s">
        <v>249</v>
      </c>
      <c r="D10" s="429" t="s">
        <v>250</v>
      </c>
      <c r="E10" s="429" t="s">
        <v>251</v>
      </c>
      <c r="F10" s="430" t="s">
        <v>252</v>
      </c>
      <c r="G10" s="412"/>
    </row>
    <row r="11" spans="1:7" ht="12.75">
      <c r="A11" s="416"/>
      <c r="B11" s="422"/>
      <c r="C11" s="422"/>
      <c r="D11" s="422"/>
      <c r="E11" s="422"/>
      <c r="F11" s="423"/>
      <c r="G11" s="412"/>
    </row>
    <row r="12" spans="1:6" ht="12.75">
      <c r="A12" s="416" t="s">
        <v>253</v>
      </c>
      <c r="B12" s="424">
        <f>GASTOS!V$22+GASTOS!V$23-C12</f>
        <v>296117379</v>
      </c>
      <c r="C12" s="424">
        <v>1027826</v>
      </c>
      <c r="D12" s="424">
        <v>0</v>
      </c>
      <c r="E12" s="424">
        <f>GASTOS!V11</f>
        <v>528846192</v>
      </c>
      <c r="F12" s="425"/>
    </row>
    <row r="13" spans="1:6" ht="12.75">
      <c r="A13" s="416" t="s">
        <v>219</v>
      </c>
      <c r="B13" s="424">
        <f>GASTOS!W$22+GASTOS!W$23-C13</f>
        <v>755980282</v>
      </c>
      <c r="C13" s="424">
        <v>4030771</v>
      </c>
      <c r="D13" s="424">
        <v>0</v>
      </c>
      <c r="E13" s="424">
        <f>GASTOS!W11</f>
        <v>683899774</v>
      </c>
      <c r="F13" s="425"/>
    </row>
    <row r="14" spans="1:6" ht="12.75">
      <c r="A14" s="416" t="s">
        <v>220</v>
      </c>
      <c r="B14" s="424">
        <f>GASTOS!X$22+GASTOS!X$23-C14</f>
        <v>505708852</v>
      </c>
      <c r="C14" s="424">
        <v>5608026</v>
      </c>
      <c r="D14" s="424">
        <v>0</v>
      </c>
      <c r="E14" s="424">
        <f>GASTOS!X11</f>
        <v>620082074</v>
      </c>
      <c r="F14" s="425"/>
    </row>
    <row r="15" spans="1:6" ht="12.75">
      <c r="A15" s="416" t="s">
        <v>221</v>
      </c>
      <c r="B15" s="424">
        <f>GASTOS!Y$22+GASTOS!Y$23-C15</f>
        <v>244180800</v>
      </c>
      <c r="C15" s="424">
        <v>561177</v>
      </c>
      <c r="D15" s="424">
        <v>0</v>
      </c>
      <c r="E15" s="424">
        <f>GASTOS!Y11</f>
        <v>724679285</v>
      </c>
      <c r="F15" s="425"/>
    </row>
    <row r="16" spans="1:6" ht="12.75">
      <c r="A16" s="416" t="s">
        <v>222</v>
      </c>
      <c r="B16" s="424">
        <f>GASTOS!Z$22+GASTOS!Z$23-C16</f>
        <v>261378800</v>
      </c>
      <c r="C16" s="424">
        <v>7095836</v>
      </c>
      <c r="D16" s="424">
        <v>0</v>
      </c>
      <c r="E16" s="424">
        <f>GASTOS!Z11</f>
        <v>697888430</v>
      </c>
      <c r="F16" s="425"/>
    </row>
    <row r="17" spans="1:6" ht="12.75">
      <c r="A17" s="416" t="s">
        <v>223</v>
      </c>
      <c r="B17" s="424">
        <f>GASTOS!AA$22+GASTOS!AA$23-C17</f>
        <v>205113194</v>
      </c>
      <c r="C17" s="424">
        <v>3099134</v>
      </c>
      <c r="D17" s="424">
        <v>0</v>
      </c>
      <c r="E17" s="424">
        <f>GASTOS!AA11</f>
        <v>1121966214</v>
      </c>
      <c r="F17" s="425"/>
    </row>
    <row r="18" spans="1:6" ht="12.75">
      <c r="A18" s="416" t="s">
        <v>224</v>
      </c>
      <c r="B18" s="424">
        <f>GASTOS!AB$22+GASTOS!AB$23-C18</f>
        <v>306551757</v>
      </c>
      <c r="C18" s="424">
        <v>2195592</v>
      </c>
      <c r="D18" s="424">
        <v>0</v>
      </c>
      <c r="E18" s="424">
        <f>GASTOS!AB11</f>
        <v>740981267</v>
      </c>
      <c r="F18" s="425"/>
    </row>
    <row r="19" spans="1:7" ht="12.75">
      <c r="A19" s="416" t="s">
        <v>225</v>
      </c>
      <c r="B19" s="424">
        <f>GASTOS!AC$22+GASTOS!AC$23-C19</f>
        <v>257401054</v>
      </c>
      <c r="C19" s="424">
        <v>4893610</v>
      </c>
      <c r="D19" s="424">
        <v>0</v>
      </c>
      <c r="E19" s="424">
        <f>GASTOS!AC11</f>
        <v>641487968</v>
      </c>
      <c r="F19" s="425"/>
      <c r="G19" s="438"/>
    </row>
    <row r="20" spans="1:6" ht="12.75">
      <c r="A20" s="416" t="s">
        <v>226</v>
      </c>
      <c r="B20" s="424">
        <f>GASTOS!AD$22+GASTOS!AD$23-C20</f>
        <v>249470630</v>
      </c>
      <c r="C20" s="424">
        <v>2726444</v>
      </c>
      <c r="D20" s="424">
        <v>0</v>
      </c>
      <c r="E20" s="424">
        <f>GASTOS!AD11</f>
        <v>664226930</v>
      </c>
      <c r="F20" s="425"/>
    </row>
    <row r="21" spans="1:6" ht="12.75">
      <c r="A21" s="416" t="s">
        <v>227</v>
      </c>
      <c r="B21" s="424">
        <f>GASTOS!AE$22+GASTOS!AE$23-C21</f>
        <v>193193121</v>
      </c>
      <c r="C21" s="424">
        <v>7236441</v>
      </c>
      <c r="D21" s="424">
        <v>0</v>
      </c>
      <c r="E21" s="424">
        <f>GASTOS!AE11</f>
        <v>658979271</v>
      </c>
      <c r="F21" s="425"/>
    </row>
    <row r="22" spans="1:6" ht="12.75">
      <c r="A22" s="416" t="s">
        <v>228</v>
      </c>
      <c r="B22" s="424">
        <f>GASTOS!AF$22+GASTOS!AF$23-C22</f>
        <v>154318866</v>
      </c>
      <c r="C22" s="424">
        <v>1723927</v>
      </c>
      <c r="D22" s="424">
        <v>0</v>
      </c>
      <c r="E22" s="424">
        <f>GASTOS!AF11</f>
        <v>639909793</v>
      </c>
      <c r="F22" s="425"/>
    </row>
    <row r="23" spans="1:6" ht="12.75">
      <c r="A23" s="416" t="s">
        <v>229</v>
      </c>
      <c r="B23" s="424">
        <f>GASTOS!AG$22+GASTOS!AG$23-C23</f>
        <v>469752952</v>
      </c>
      <c r="C23" s="424">
        <v>16092542</v>
      </c>
      <c r="D23" s="424">
        <v>0</v>
      </c>
      <c r="E23" s="424">
        <f>GASTOS!AG11</f>
        <v>1953921841</v>
      </c>
      <c r="F23" s="425"/>
    </row>
    <row r="24" spans="1:6" ht="13.5" thickBot="1">
      <c r="A24" s="416"/>
      <c r="B24" s="424"/>
      <c r="C24" s="424"/>
      <c r="D24" s="424"/>
      <c r="E24" s="424"/>
      <c r="F24" s="425"/>
    </row>
    <row r="25" spans="1:6" ht="13.5" thickBot="1">
      <c r="A25" s="428" t="s">
        <v>254</v>
      </c>
      <c r="B25" s="432">
        <f>SUM(B12:B23)</f>
        <v>3899167687</v>
      </c>
      <c r="C25" s="432">
        <f>SUM(C12:C23)</f>
        <v>56291326</v>
      </c>
      <c r="D25" s="432">
        <f>SUM(D12:D23)</f>
        <v>0</v>
      </c>
      <c r="E25" s="432">
        <f>SUM(E12:E23)</f>
        <v>9676869039</v>
      </c>
      <c r="F25" s="433"/>
    </row>
    <row r="28" ht="12.75">
      <c r="C28" s="474"/>
    </row>
    <row r="29" ht="12.75">
      <c r="C29" s="474"/>
    </row>
    <row r="30" spans="2:3" ht="12.75">
      <c r="B30" s="438"/>
      <c r="C30" s="474"/>
    </row>
    <row r="31" ht="12.75">
      <c r="C31" s="474"/>
    </row>
    <row r="32" ht="12.75">
      <c r="C32" s="474"/>
    </row>
    <row r="33" ht="12.75">
      <c r="C33" s="474"/>
    </row>
    <row r="34" ht="12.75">
      <c r="C34" s="474"/>
    </row>
  </sheetData>
  <printOptions horizontalCentered="1" verticalCentered="1"/>
  <pageMargins left="0.7874015748031497" right="0.7874015748031497" top="0.984251968503937" bottom="1.29" header="0.5118110236220472" footer="0.65"/>
  <pageSetup horizontalDpi="600" verticalDpi="600" orientation="landscape" r:id="rId2"/>
  <headerFooter alignWithMargins="0">
    <oddFooter>&amp;L&amp;12
JORGE NELSON GAITAN LEON
Jefe de presupuesto 
&amp;C&amp;12MARTA LUCIA VILLEGAS BOTERO
Directora General 
&amp;R&amp;12JOSE LUIS ACERO COLMENARES 
Subdirector Financiero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J3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68" customWidth="1"/>
    <col min="2" max="2" width="30.7109375" style="452" customWidth="1"/>
    <col min="3" max="3" width="13.00390625" style="453" customWidth="1"/>
    <col min="4" max="4" width="15.421875" style="453" customWidth="1"/>
    <col min="5" max="5" width="13.421875" style="453" hidden="1" customWidth="1"/>
    <col min="6" max="6" width="11.57421875" style="453" hidden="1" customWidth="1"/>
    <col min="7" max="8" width="12.57421875" style="453" hidden="1" customWidth="1"/>
    <col min="9" max="10" width="12.421875" style="453" hidden="1" customWidth="1"/>
    <col min="11" max="11" width="12.28125" style="453" hidden="1" customWidth="1"/>
    <col min="12" max="12" width="12.57421875" style="453" customWidth="1"/>
    <col min="13" max="13" width="12.00390625" style="453" hidden="1" customWidth="1"/>
    <col min="14" max="14" width="12.28125" style="453" hidden="1" customWidth="1"/>
    <col min="15" max="15" width="12.140625" style="453" hidden="1" customWidth="1"/>
    <col min="16" max="16" width="12.28125" style="453" hidden="1" customWidth="1"/>
    <col min="17" max="17" width="12.57421875" style="453" customWidth="1"/>
    <col min="18" max="22" width="11.421875" style="453" hidden="1" customWidth="1"/>
    <col min="23" max="24" width="0" style="453" hidden="1" customWidth="1"/>
    <col min="25" max="25" width="11.421875" style="453" customWidth="1"/>
    <col min="26" max="29" width="11.421875" style="453" hidden="1" customWidth="1"/>
    <col min="30" max="31" width="12.57421875" style="453" customWidth="1"/>
    <col min="32" max="16384" width="11.421875" style="453" customWidth="1"/>
  </cols>
  <sheetData>
    <row r="2" spans="1:62" s="450" customFormat="1" ht="30" customHeight="1">
      <c r="A2" s="469" t="s">
        <v>333</v>
      </c>
      <c r="B2" s="461" t="s">
        <v>269</v>
      </c>
      <c r="C2" s="462" t="s">
        <v>277</v>
      </c>
      <c r="D2" s="462" t="s">
        <v>278</v>
      </c>
      <c r="E2" s="462" t="s">
        <v>279</v>
      </c>
      <c r="F2" s="462" t="s">
        <v>313</v>
      </c>
      <c r="G2" s="462" t="s">
        <v>314</v>
      </c>
      <c r="H2" s="462" t="s">
        <v>315</v>
      </c>
      <c r="I2" s="462" t="s">
        <v>316</v>
      </c>
      <c r="J2" s="462" t="s">
        <v>317</v>
      </c>
      <c r="K2" s="462" t="s">
        <v>280</v>
      </c>
      <c r="L2" s="462" t="s">
        <v>341</v>
      </c>
      <c r="M2" s="462" t="s">
        <v>281</v>
      </c>
      <c r="N2" s="462" t="s">
        <v>282</v>
      </c>
      <c r="O2" s="462" t="s">
        <v>283</v>
      </c>
      <c r="P2" s="462" t="s">
        <v>284</v>
      </c>
      <c r="Q2" s="458" t="s">
        <v>297</v>
      </c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</row>
    <row r="3" spans="1:17" ht="11.25">
      <c r="A3" s="470"/>
      <c r="B3" s="454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9"/>
    </row>
    <row r="4" spans="1:17" ht="22.5">
      <c r="A4" s="470">
        <v>3000</v>
      </c>
      <c r="B4" s="454" t="s">
        <v>335</v>
      </c>
      <c r="C4" s="455">
        <f>INGRESOS!H7</f>
        <v>126800678140</v>
      </c>
      <c r="D4" s="455">
        <f>INGRESOS!K7</f>
        <v>130415225769</v>
      </c>
      <c r="E4" s="455">
        <f>INGRESOS!L7</f>
        <v>8242531120</v>
      </c>
      <c r="F4" s="455">
        <f>INGRESOS!M7</f>
        <v>8218587691</v>
      </c>
      <c r="G4" s="455">
        <f>INGRESOS!N7</f>
        <v>7943018528</v>
      </c>
      <c r="H4" s="455">
        <f>INGRESOS!O7</f>
        <v>9502554937</v>
      </c>
      <c r="I4" s="455">
        <f>INGRESOS!P7</f>
        <v>9966026580</v>
      </c>
      <c r="J4" s="455">
        <f>INGRESOS!Q7</f>
        <v>10911912041</v>
      </c>
      <c r="K4" s="455">
        <f>INGRESOS!R7</f>
        <v>10564704854</v>
      </c>
      <c r="L4" s="455">
        <f>INGRESOS!S7</f>
        <v>9400165990</v>
      </c>
      <c r="M4" s="455">
        <f>INGRESOS!T7</f>
        <v>9810725737</v>
      </c>
      <c r="N4" s="455">
        <f>INGRESOS!U7</f>
        <v>9670249703</v>
      </c>
      <c r="O4" s="455">
        <f>INGRESOS!V7</f>
        <v>9244987253</v>
      </c>
      <c r="P4" s="455">
        <f>INGRESOS!W7</f>
        <v>14461956512</v>
      </c>
      <c r="Q4" s="459">
        <f aca="true" t="shared" si="0" ref="Q4:Q9">SUM(E4:P4)</f>
        <v>117937420946</v>
      </c>
    </row>
    <row r="5" spans="1:17" ht="11.25">
      <c r="A5" s="470">
        <v>3121</v>
      </c>
      <c r="B5" s="454" t="s">
        <v>276</v>
      </c>
      <c r="C5" s="455">
        <f>INGRESOS!D13</f>
        <v>87823225769</v>
      </c>
      <c r="D5" s="455">
        <f>INGRESOS!G13</f>
        <v>87823225769</v>
      </c>
      <c r="E5" s="455">
        <f>INGRESOS!L13</f>
        <v>5795779472</v>
      </c>
      <c r="F5" s="455">
        <f>INGRESOS!M13</f>
        <v>5671974616</v>
      </c>
      <c r="G5" s="455">
        <f>INGRESOS!N13</f>
        <v>5590387374</v>
      </c>
      <c r="H5" s="455">
        <f>INGRESOS!O13</f>
        <v>6713581132</v>
      </c>
      <c r="I5" s="455">
        <f>INGRESOS!P13</f>
        <v>6544070975</v>
      </c>
      <c r="J5" s="455">
        <f>INGRESOS!Q13</f>
        <v>6661980425</v>
      </c>
      <c r="K5" s="455">
        <f>INGRESOS!R13</f>
        <v>7499483201</v>
      </c>
      <c r="L5" s="455">
        <f>INGRESOS!S13</f>
        <v>6622442351</v>
      </c>
      <c r="M5" s="455">
        <f>INGRESOS!T13</f>
        <v>6918506149</v>
      </c>
      <c r="N5" s="455">
        <f>INGRESOS!U13</f>
        <v>6860175603</v>
      </c>
      <c r="O5" s="455">
        <f>INGRESOS!V13</f>
        <v>6523055687</v>
      </c>
      <c r="P5" s="455">
        <f>INGRESOS!W13</f>
        <v>7452616356</v>
      </c>
      <c r="Q5" s="459">
        <f t="shared" si="0"/>
        <v>78854053341</v>
      </c>
    </row>
    <row r="6" spans="1:17" ht="11.25">
      <c r="A6" s="470">
        <v>3128</v>
      </c>
      <c r="B6" s="454" t="s">
        <v>275</v>
      </c>
      <c r="C6" s="455">
        <f>INGRESOS!D20</f>
        <v>748400000</v>
      </c>
      <c r="D6" s="455">
        <f>INGRESOS!H20</f>
        <v>748400000</v>
      </c>
      <c r="E6" s="455">
        <f>INGRESOS!L20</f>
        <v>16057930</v>
      </c>
      <c r="F6" s="455">
        <f>INGRESOS!M20</f>
        <v>14308152</v>
      </c>
      <c r="G6" s="455">
        <f>INGRESOS!N20</f>
        <v>6433849</v>
      </c>
      <c r="H6" s="455">
        <f>INGRESOS!O20</f>
        <v>10461249</v>
      </c>
      <c r="I6" s="455">
        <f>INGRESOS!P20</f>
        <v>9628670</v>
      </c>
      <c r="J6" s="455">
        <f>INGRESOS!Q20</f>
        <v>2881415</v>
      </c>
      <c r="K6" s="455">
        <f>INGRESOS!R20</f>
        <v>102480</v>
      </c>
      <c r="L6" s="455">
        <f>INGRESOS!S20</f>
        <v>1218944</v>
      </c>
      <c r="M6" s="455">
        <f>INGRESOS!T20</f>
        <v>2132285</v>
      </c>
      <c r="N6" s="455">
        <f>INGRESOS!U20</f>
        <v>1444554</v>
      </c>
      <c r="O6" s="455">
        <f>INGRESOS!V20</f>
        <v>1259575</v>
      </c>
      <c r="P6" s="455">
        <f>INGRESOS!W20</f>
        <v>56692072</v>
      </c>
      <c r="Q6" s="459">
        <f t="shared" si="0"/>
        <v>122621175</v>
      </c>
    </row>
    <row r="7" spans="1:17" ht="11.25">
      <c r="A7" s="470">
        <v>3230</v>
      </c>
      <c r="B7" s="454" t="s">
        <v>274</v>
      </c>
      <c r="C7" s="455">
        <f>INGRESOS!D24</f>
        <v>37265900000</v>
      </c>
      <c r="D7" s="455">
        <f>INGRESOS!H24</f>
        <v>37265900000</v>
      </c>
      <c r="E7" s="455">
        <f>INGRESOS!L24</f>
        <v>2421613642</v>
      </c>
      <c r="F7" s="455">
        <f>INGRESOS!M24</f>
        <v>2506746946</v>
      </c>
      <c r="G7" s="455">
        <f>INGRESOS!N24</f>
        <v>2350131157</v>
      </c>
      <c r="H7" s="455">
        <f>INGRESOS!O24</f>
        <v>2775190335</v>
      </c>
      <c r="I7" s="455">
        <f>INGRESOS!P24</f>
        <v>3401616788</v>
      </c>
      <c r="J7" s="455">
        <f>INGRESOS!Q24</f>
        <v>4228160120</v>
      </c>
      <c r="K7" s="455">
        <f>INGRESOS!R24</f>
        <v>3014565285</v>
      </c>
      <c r="L7" s="455">
        <f>INGRESOS!S24</f>
        <v>2745088490</v>
      </c>
      <c r="M7" s="455">
        <f>INGRESOS!T24</f>
        <v>2866001834</v>
      </c>
      <c r="N7" s="455">
        <f>INGRESOS!U24</f>
        <v>2805967609</v>
      </c>
      <c r="O7" s="455">
        <f>INGRESOS!V24</f>
        <v>2720671991</v>
      </c>
      <c r="P7" s="455">
        <f>INGRESOS!W24</f>
        <v>3056680961</v>
      </c>
      <c r="Q7" s="459">
        <f t="shared" si="0"/>
        <v>34892435158</v>
      </c>
    </row>
    <row r="8" spans="1:17" ht="11.25">
      <c r="A8" s="470">
        <v>3240</v>
      </c>
      <c r="B8" s="454" t="s">
        <v>272</v>
      </c>
      <c r="C8" s="455">
        <f>INGRESOS!D25</f>
        <v>691300000</v>
      </c>
      <c r="D8" s="455">
        <f>INGRESOS!H25</f>
        <v>691300000</v>
      </c>
      <c r="E8" s="455">
        <f>INGRESOS!L25</f>
        <v>9080076</v>
      </c>
      <c r="F8" s="455">
        <f>INGRESOS!M25</f>
        <v>25557977</v>
      </c>
      <c r="G8" s="455">
        <f>INGRESOS!N25</f>
        <v>-3933852</v>
      </c>
      <c r="H8" s="455">
        <f>INGRESOS!O25</f>
        <v>3322221</v>
      </c>
      <c r="I8" s="455">
        <f>INGRESOS!P25</f>
        <v>10710147</v>
      </c>
      <c r="J8" s="455">
        <f>INGRESOS!Q25</f>
        <v>18890081</v>
      </c>
      <c r="K8" s="455">
        <f>INGRESOS!R25</f>
        <v>50553888</v>
      </c>
      <c r="L8" s="455">
        <f>INGRESOS!S25</f>
        <v>31416205</v>
      </c>
      <c r="M8" s="455">
        <f>INGRESOS!T25</f>
        <v>24085469</v>
      </c>
      <c r="N8" s="455">
        <f>INGRESOS!U25</f>
        <v>2661937</v>
      </c>
      <c r="O8" s="455">
        <f>INGRESOS!V25</f>
        <v>0</v>
      </c>
      <c r="P8" s="455">
        <f>INGRESOS!W25</f>
        <v>9567123</v>
      </c>
      <c r="Q8" s="459">
        <f t="shared" si="0"/>
        <v>181911272</v>
      </c>
    </row>
    <row r="9" spans="1:17" ht="11.25">
      <c r="A9" s="470">
        <v>4000</v>
      </c>
      <c r="B9" s="454" t="s">
        <v>273</v>
      </c>
      <c r="C9" s="455">
        <f>INGRESOS!D30</f>
        <v>22882000000</v>
      </c>
      <c r="D9" s="455">
        <f>INGRESOS!H30</f>
        <v>22882000000</v>
      </c>
      <c r="E9" s="455">
        <f>INGRESOS!L30</f>
        <v>0</v>
      </c>
      <c r="F9" s="455">
        <f>INGRESOS!M30</f>
        <v>1666600000</v>
      </c>
      <c r="G9" s="455">
        <f>INGRESOS!N30</f>
        <v>833400000</v>
      </c>
      <c r="H9" s="455">
        <f>INGRESOS!O30</f>
        <v>0</v>
      </c>
      <c r="I9" s="455">
        <f>INGRESOS!P30</f>
        <v>407000000</v>
      </c>
      <c r="J9" s="455">
        <f>INGRESOS!Q30</f>
        <v>89362500</v>
      </c>
      <c r="K9" s="455">
        <f>INGRESOS!R30</f>
        <v>1667731856</v>
      </c>
      <c r="L9" s="455">
        <f>INGRESOS!S30</f>
        <v>0</v>
      </c>
      <c r="M9" s="455">
        <f>INGRESOS!T30</f>
        <v>0</v>
      </c>
      <c r="N9" s="455">
        <f>INGRESOS!U30</f>
        <v>3090000</v>
      </c>
      <c r="O9" s="455">
        <f>INGRESOS!V30</f>
        <v>1253509360</v>
      </c>
      <c r="P9" s="455">
        <f>INGRESOS!W30</f>
        <v>856645734.4</v>
      </c>
      <c r="Q9" s="459">
        <f t="shared" si="0"/>
        <v>6777339450.4</v>
      </c>
    </row>
    <row r="12" spans="1:30" ht="22.5">
      <c r="A12" s="471"/>
      <c r="B12" s="463" t="s">
        <v>270</v>
      </c>
      <c r="C12" s="462" t="s">
        <v>277</v>
      </c>
      <c r="D12" s="462" t="s">
        <v>278</v>
      </c>
      <c r="E12" s="462" t="s">
        <v>285</v>
      </c>
      <c r="F12" s="462" t="s">
        <v>286</v>
      </c>
      <c r="G12" s="462" t="s">
        <v>287</v>
      </c>
      <c r="H12" s="462" t="s">
        <v>288</v>
      </c>
      <c r="I12" s="462" t="s">
        <v>289</v>
      </c>
      <c r="J12" s="462" t="s">
        <v>290</v>
      </c>
      <c r="K12" s="462" t="s">
        <v>291</v>
      </c>
      <c r="L12" s="462" t="s">
        <v>292</v>
      </c>
      <c r="M12" s="462" t="s">
        <v>293</v>
      </c>
      <c r="N12" s="462" t="s">
        <v>294</v>
      </c>
      <c r="O12" s="462" t="s">
        <v>295</v>
      </c>
      <c r="P12" s="462" t="s">
        <v>296</v>
      </c>
      <c r="Q12" s="458" t="s">
        <v>334</v>
      </c>
      <c r="R12" s="462" t="s">
        <v>300</v>
      </c>
      <c r="S12" s="462" t="s">
        <v>301</v>
      </c>
      <c r="T12" s="462" t="s">
        <v>302</v>
      </c>
      <c r="U12" s="462" t="s">
        <v>303</v>
      </c>
      <c r="V12" s="462" t="s">
        <v>304</v>
      </c>
      <c r="W12" s="462" t="s">
        <v>305</v>
      </c>
      <c r="X12" s="462" t="s">
        <v>306</v>
      </c>
      <c r="Y12" s="462" t="s">
        <v>307</v>
      </c>
      <c r="Z12" s="462" t="s">
        <v>308</v>
      </c>
      <c r="AA12" s="462" t="s">
        <v>309</v>
      </c>
      <c r="AB12" s="462" t="s">
        <v>310</v>
      </c>
      <c r="AC12" s="462" t="s">
        <v>312</v>
      </c>
      <c r="AD12" s="458" t="s">
        <v>311</v>
      </c>
    </row>
    <row r="13" ht="11.25">
      <c r="Q13" s="460"/>
    </row>
    <row r="14" spans="1:30" ht="11.25">
      <c r="A14" s="472"/>
      <c r="B14" s="456" t="s">
        <v>133</v>
      </c>
      <c r="C14" s="457">
        <f>GASTOS!O10</f>
        <v>15623329140</v>
      </c>
      <c r="D14" s="457">
        <f>GASTOS!U10</f>
        <v>18397576769</v>
      </c>
      <c r="E14" s="457">
        <f>GASTOS!V10</f>
        <v>835104638</v>
      </c>
      <c r="F14" s="457">
        <f>GASTOS!W10</f>
        <v>1474384343</v>
      </c>
      <c r="G14" s="457">
        <f>GASTOS!X10</f>
        <v>1137738448</v>
      </c>
      <c r="H14" s="457">
        <f>GASTOS!Y10</f>
        <v>999031379</v>
      </c>
      <c r="I14" s="457">
        <f>GASTOS!Z10</f>
        <v>977503917</v>
      </c>
      <c r="J14" s="457">
        <f>GASTOS!AA10</f>
        <v>1330227758</v>
      </c>
      <c r="K14" s="457">
        <f>GASTOS!AB10</f>
        <v>1049735637</v>
      </c>
      <c r="L14" s="457">
        <f>GASTOS!AC10</f>
        <v>911123099</v>
      </c>
      <c r="M14" s="457">
        <f>GASTOS!AD10</f>
        <v>1167323679</v>
      </c>
      <c r="N14" s="457">
        <f>GASTOS!AE10</f>
        <v>1053197024</v>
      </c>
      <c r="O14" s="457">
        <f>GASTOS!AF10</f>
        <v>803633379</v>
      </c>
      <c r="P14" s="457">
        <f>GASTOS!AG10</f>
        <v>5628214165</v>
      </c>
      <c r="Q14" s="459">
        <f aca="true" t="shared" si="1" ref="Q14:Q33">SUM(E14:P14)</f>
        <v>17367217466</v>
      </c>
      <c r="R14" s="457">
        <f>GASTOS!AI10</f>
        <v>489439686</v>
      </c>
      <c r="S14" s="457">
        <f>GASTOS!AJ10</f>
        <v>935104376</v>
      </c>
      <c r="T14" s="457">
        <f>GASTOS!AK10</f>
        <v>838950636</v>
      </c>
      <c r="U14" s="457">
        <f>GASTOS!AL10</f>
        <v>1441619783</v>
      </c>
      <c r="V14" s="457">
        <f>GASTOS!AM10</f>
        <v>1022058886</v>
      </c>
      <c r="W14" s="457">
        <f>GASTOS!AN10</f>
        <v>1371584821</v>
      </c>
      <c r="X14" s="457">
        <f>GASTOS!AO10</f>
        <v>1070948043</v>
      </c>
      <c r="Y14" s="457">
        <f>GASTOS!AP10</f>
        <v>966200828</v>
      </c>
      <c r="Z14" s="457">
        <f>GASTOS!AQ10</f>
        <v>1250983258</v>
      </c>
      <c r="AA14" s="457">
        <f>GASTOS!AR10</f>
        <v>954641654</v>
      </c>
      <c r="AB14" s="457">
        <f>GASTOS!AS10</f>
        <v>859016389</v>
      </c>
      <c r="AC14" s="457">
        <f>GASTOS!AT10</f>
        <v>6166669106</v>
      </c>
      <c r="AD14" s="459">
        <f>SUM(R14:AC14)</f>
        <v>17367217466</v>
      </c>
    </row>
    <row r="15" spans="1:30" ht="11.25">
      <c r="A15" s="470"/>
      <c r="B15" s="454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9">
        <f t="shared" si="1"/>
        <v>0</v>
      </c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9"/>
    </row>
    <row r="16" spans="1:30" ht="11.25">
      <c r="A16" s="470" t="s">
        <v>318</v>
      </c>
      <c r="B16" s="454" t="s">
        <v>136</v>
      </c>
      <c r="C16" s="455">
        <f>GASTOS!O11</f>
        <v>7466406563</v>
      </c>
      <c r="D16" s="455">
        <f>GASTOS!U11</f>
        <v>9896505349</v>
      </c>
      <c r="E16" s="455">
        <f>GASTOS!V11</f>
        <v>528846192</v>
      </c>
      <c r="F16" s="455">
        <f>GASTOS!W11</f>
        <v>683899774</v>
      </c>
      <c r="G16" s="455">
        <f>GASTOS!X11</f>
        <v>620082074</v>
      </c>
      <c r="H16" s="455">
        <f>GASTOS!Y11</f>
        <v>724679285</v>
      </c>
      <c r="I16" s="455">
        <f>GASTOS!Z11</f>
        <v>697888430</v>
      </c>
      <c r="J16" s="455">
        <f>GASTOS!AA11</f>
        <v>1121966214</v>
      </c>
      <c r="K16" s="455">
        <f>GASTOS!AB11</f>
        <v>740981267</v>
      </c>
      <c r="L16" s="455">
        <f>GASTOS!AC11</f>
        <v>641487968</v>
      </c>
      <c r="M16" s="455">
        <f>GASTOS!AD11</f>
        <v>664226930</v>
      </c>
      <c r="N16" s="455">
        <f>GASTOS!AE11</f>
        <v>658979271</v>
      </c>
      <c r="O16" s="455">
        <f>GASTOS!AF11</f>
        <v>639909793</v>
      </c>
      <c r="P16" s="455">
        <f>GASTOS!AG11</f>
        <v>1953921841</v>
      </c>
      <c r="Q16" s="459">
        <f t="shared" si="1"/>
        <v>9676869039</v>
      </c>
      <c r="R16" s="455">
        <f>GASTOS!AI11</f>
        <v>401080285</v>
      </c>
      <c r="S16" s="455">
        <f>GASTOS!AJ11</f>
        <v>673534404</v>
      </c>
      <c r="T16" s="455">
        <f>GASTOS!AK11</f>
        <v>614997226</v>
      </c>
      <c r="U16" s="455">
        <f>GASTOS!AL11</f>
        <v>759998012</v>
      </c>
      <c r="V16" s="455">
        <f>GASTOS!AM11</f>
        <v>714846934</v>
      </c>
      <c r="W16" s="455">
        <f>GASTOS!AN11</f>
        <v>1128197272</v>
      </c>
      <c r="X16" s="455">
        <f>GASTOS!AO11</f>
        <v>738438449</v>
      </c>
      <c r="Y16" s="455">
        <f>GASTOS!AP11</f>
        <v>657195395</v>
      </c>
      <c r="Z16" s="455">
        <f>GASTOS!AQ11</f>
        <v>676346236</v>
      </c>
      <c r="AA16" s="455">
        <f>GASTOS!AR11</f>
        <v>669435692</v>
      </c>
      <c r="AB16" s="455">
        <f>GASTOS!AS11</f>
        <v>652530820</v>
      </c>
      <c r="AC16" s="455">
        <f>GASTOS!AT11</f>
        <v>1990268314</v>
      </c>
      <c r="AD16" s="459">
        <f>SUM(R16:AC16)</f>
        <v>9676869039</v>
      </c>
    </row>
    <row r="17" spans="1:30" ht="11.25">
      <c r="A17" s="470" t="s">
        <v>319</v>
      </c>
      <c r="B17" s="454" t="s">
        <v>154</v>
      </c>
      <c r="C17" s="455">
        <f>GASTOS!O21</f>
        <v>3398154637</v>
      </c>
      <c r="D17" s="455">
        <f>GASTOS!U21</f>
        <v>4429256676</v>
      </c>
      <c r="E17" s="455">
        <f>GASTOS!V21</f>
        <v>306258446</v>
      </c>
      <c r="F17" s="455">
        <f>GASTOS!W21</f>
        <v>776123459</v>
      </c>
      <c r="G17" s="455">
        <f>GASTOS!X21</f>
        <v>517656374</v>
      </c>
      <c r="H17" s="455">
        <f>GASTOS!Y21</f>
        <v>274352094</v>
      </c>
      <c r="I17" s="455">
        <f>GASTOS!Z21</f>
        <v>271718940</v>
      </c>
      <c r="J17" s="455">
        <f>GASTOS!AA21</f>
        <v>208261544</v>
      </c>
      <c r="K17" s="455">
        <f>GASTOS!AB21</f>
        <v>308754370</v>
      </c>
      <c r="L17" s="455">
        <f>GASTOS!AC21</f>
        <v>269635131</v>
      </c>
      <c r="M17" s="455">
        <f>GASTOS!AD21</f>
        <v>252738193</v>
      </c>
      <c r="N17" s="455">
        <f>GASTOS!AE21</f>
        <v>394217753</v>
      </c>
      <c r="O17" s="455">
        <f>GASTOS!AF21</f>
        <v>156060495</v>
      </c>
      <c r="P17" s="455">
        <f>GASTOS!AG21</f>
        <v>482757324</v>
      </c>
      <c r="Q17" s="459">
        <f t="shared" si="1"/>
        <v>4218534123</v>
      </c>
      <c r="R17" s="455">
        <f>GASTOS!AI21</f>
        <v>88359401</v>
      </c>
      <c r="S17" s="455">
        <f>GASTOS!AJ21</f>
        <v>247208862</v>
      </c>
      <c r="T17" s="455">
        <f>GASTOS!AK21</f>
        <v>223953410</v>
      </c>
      <c r="U17" s="455">
        <f>GASTOS!AL21</f>
        <v>681621771</v>
      </c>
      <c r="V17" s="455">
        <f>GASTOS!AM21</f>
        <v>299315405</v>
      </c>
      <c r="W17" s="455">
        <f>GASTOS!AN21</f>
        <v>243387549</v>
      </c>
      <c r="X17" s="455">
        <f>GASTOS!AO21</f>
        <v>332509594</v>
      </c>
      <c r="Y17" s="455">
        <f>GASTOS!AP21</f>
        <v>309005433</v>
      </c>
      <c r="Z17" s="455">
        <f>GASTOS!AQ21</f>
        <v>324278466</v>
      </c>
      <c r="AA17" s="455">
        <f>GASTOS!AR21</f>
        <v>285205962</v>
      </c>
      <c r="AB17" s="455">
        <f>GASTOS!AS21</f>
        <v>198822478</v>
      </c>
      <c r="AC17" s="455">
        <f>GASTOS!AT21</f>
        <v>984865792</v>
      </c>
      <c r="AD17" s="459">
        <f>SUM(R17:AC17)</f>
        <v>4218534123</v>
      </c>
    </row>
    <row r="18" spans="1:30" ht="11.25">
      <c r="A18" s="470" t="s">
        <v>320</v>
      </c>
      <c r="B18" s="454" t="s">
        <v>159</v>
      </c>
      <c r="C18" s="455">
        <f>GASTOS!O25</f>
        <v>4758767940</v>
      </c>
      <c r="D18" s="455">
        <f>GASTOS!U25</f>
        <v>4071814744</v>
      </c>
      <c r="E18" s="455">
        <f>GASTOS!V25</f>
        <v>0</v>
      </c>
      <c r="F18" s="455">
        <f>GASTOS!W25</f>
        <v>14361110</v>
      </c>
      <c r="G18" s="455">
        <f>GASTOS!X25</f>
        <v>0</v>
      </c>
      <c r="H18" s="455">
        <f>GASTOS!Y25</f>
        <v>0</v>
      </c>
      <c r="I18" s="455">
        <f>GASTOS!Z25</f>
        <v>7896547</v>
      </c>
      <c r="J18" s="455">
        <f>GASTOS!AA25</f>
        <v>0</v>
      </c>
      <c r="K18" s="455">
        <f>GASTOS!AB25</f>
        <v>0</v>
      </c>
      <c r="L18" s="455">
        <f>GASTOS!AC25</f>
        <v>0</v>
      </c>
      <c r="M18" s="455">
        <f>GASTOS!AD25</f>
        <v>250358556</v>
      </c>
      <c r="N18" s="455">
        <f>GASTOS!AE25</f>
        <v>0</v>
      </c>
      <c r="O18" s="455">
        <f>GASTOS!AF25</f>
        <v>7663091</v>
      </c>
      <c r="P18" s="455">
        <f>GASTOS!AG25</f>
        <v>3191535000</v>
      </c>
      <c r="Q18" s="459">
        <f t="shared" si="1"/>
        <v>3471814304</v>
      </c>
      <c r="R18" s="455">
        <f>GASTOS!AI25</f>
        <v>0</v>
      </c>
      <c r="S18" s="455">
        <f>GASTOS!AJ25</f>
        <v>14361110</v>
      </c>
      <c r="T18" s="455">
        <f>GASTOS!AK25</f>
        <v>0</v>
      </c>
      <c r="U18" s="455">
        <f>GASTOS!AL25</f>
        <v>0</v>
      </c>
      <c r="V18" s="455">
        <f>GASTOS!AM25</f>
        <v>7896547</v>
      </c>
      <c r="W18" s="455">
        <f>GASTOS!AN25</f>
        <v>0</v>
      </c>
      <c r="X18" s="455">
        <f>GASTOS!AO25</f>
        <v>0</v>
      </c>
      <c r="Y18" s="455">
        <f>GASTOS!AP25</f>
        <v>0</v>
      </c>
      <c r="Z18" s="455">
        <f>GASTOS!AQ25</f>
        <v>250358556</v>
      </c>
      <c r="AA18" s="455">
        <f>GASTOS!AR25</f>
        <v>0</v>
      </c>
      <c r="AB18" s="455">
        <f>GASTOS!AS25</f>
        <v>7663091</v>
      </c>
      <c r="AC18" s="455">
        <f>GASTOS!AT25</f>
        <v>3191535000</v>
      </c>
      <c r="AD18" s="459">
        <f>SUM(R18:AC18)</f>
        <v>3471814304</v>
      </c>
    </row>
    <row r="19" spans="2:30" ht="11.25">
      <c r="B19" s="464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</row>
    <row r="20" spans="2:30" ht="11.25">
      <c r="B20" s="46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</row>
    <row r="21" spans="1:30" ht="11.25">
      <c r="A21" s="472"/>
      <c r="B21" s="456" t="s">
        <v>336</v>
      </c>
      <c r="C21" s="457">
        <f>GASTOS!O37</f>
        <v>134059349000</v>
      </c>
      <c r="D21" s="457">
        <f>GASTOS!U37</f>
        <v>134899649000</v>
      </c>
      <c r="E21" s="457">
        <f>GASTOS!V37</f>
        <v>123081349000</v>
      </c>
      <c r="F21" s="457">
        <f>GASTOS!W37</f>
        <v>28685800</v>
      </c>
      <c r="G21" s="457">
        <f>GASTOS!X37</f>
        <v>128451642</v>
      </c>
      <c r="H21" s="457">
        <f>GASTOS!Y37</f>
        <v>149350210</v>
      </c>
      <c r="I21" s="457">
        <f>GASTOS!Z37</f>
        <v>532005065</v>
      </c>
      <c r="J21" s="457">
        <f>GASTOS!AA37</f>
        <v>554161990</v>
      </c>
      <c r="K21" s="457">
        <f>GASTOS!AB37</f>
        <v>342462983</v>
      </c>
      <c r="L21" s="457">
        <f>GASTOS!AC37</f>
        <v>-86686048</v>
      </c>
      <c r="M21" s="457">
        <f>GASTOS!AD37</f>
        <v>-3027658</v>
      </c>
      <c r="N21" s="457">
        <f>GASTOS!AE37</f>
        <v>0</v>
      </c>
      <c r="O21" s="457">
        <f>GASTOS!AF37</f>
        <v>65195000</v>
      </c>
      <c r="P21" s="457">
        <f>GASTOS!AG37</f>
        <v>-10606080591</v>
      </c>
      <c r="Q21" s="473">
        <f t="shared" si="1"/>
        <v>114185867393</v>
      </c>
      <c r="R21" s="457">
        <f>GASTOS!AI37</f>
        <v>20128104</v>
      </c>
      <c r="S21" s="457">
        <f>GASTOS!AJ37</f>
        <v>6387516037</v>
      </c>
      <c r="T21" s="457">
        <f>GASTOS!AK37</f>
        <v>12078376575</v>
      </c>
      <c r="U21" s="457">
        <f>GASTOS!AL37</f>
        <v>11289308738</v>
      </c>
      <c r="V21" s="457">
        <f>GASTOS!AM37</f>
        <v>4757277336</v>
      </c>
      <c r="W21" s="457">
        <f>GASTOS!AN37</f>
        <v>8899405453</v>
      </c>
      <c r="X21" s="457">
        <f>GASTOS!AO37</f>
        <v>12615117717</v>
      </c>
      <c r="Y21" s="457">
        <f>GASTOS!AP37</f>
        <v>9760116997</v>
      </c>
      <c r="Z21" s="457">
        <f>GASTOS!AQ37</f>
        <v>12863027637</v>
      </c>
      <c r="AA21" s="457">
        <f>GASTOS!AR37</f>
        <v>10568267532</v>
      </c>
      <c r="AB21" s="457">
        <f>GASTOS!AS37</f>
        <v>4886054941</v>
      </c>
      <c r="AC21" s="457">
        <f>GASTOS!AT37</f>
        <v>18499274041</v>
      </c>
      <c r="AD21" s="459">
        <f>SUM(R21:AC21)</f>
        <v>112623871108</v>
      </c>
    </row>
    <row r="22" spans="2:30" ht="11.25">
      <c r="B22" s="454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9">
        <f t="shared" si="1"/>
        <v>0</v>
      </c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9"/>
    </row>
    <row r="23" spans="1:30" ht="22.5">
      <c r="A23" s="470" t="s">
        <v>321</v>
      </c>
      <c r="B23" s="454" t="s">
        <v>271</v>
      </c>
      <c r="C23" s="455">
        <f>GASTOS!O43</f>
        <v>1500000000</v>
      </c>
      <c r="D23" s="455">
        <f>GASTOS!U43</f>
        <v>2340300000</v>
      </c>
      <c r="E23" s="455">
        <f>GASTOS!V43</f>
        <v>0</v>
      </c>
      <c r="F23" s="455">
        <f>GASTOS!W43</f>
        <v>28685800</v>
      </c>
      <c r="G23" s="455">
        <f>GASTOS!X43</f>
        <v>128451642</v>
      </c>
      <c r="H23" s="455">
        <f>GASTOS!Y43</f>
        <v>149350210</v>
      </c>
      <c r="I23" s="455">
        <f>GASTOS!Z43</f>
        <v>532005065</v>
      </c>
      <c r="J23" s="455">
        <f>GASTOS!AA43</f>
        <v>54161990</v>
      </c>
      <c r="K23" s="455">
        <f>GASTOS!AB43</f>
        <v>342462983</v>
      </c>
      <c r="L23" s="455">
        <f>GASTOS!AC43</f>
        <v>-86686048</v>
      </c>
      <c r="M23" s="455">
        <f>GASTOS!AD43</f>
        <v>-3027658</v>
      </c>
      <c r="N23" s="455">
        <f>GASTOS!AE43</f>
        <v>0</v>
      </c>
      <c r="O23" s="455">
        <f>GASTOS!AF43</f>
        <v>65195000</v>
      </c>
      <c r="P23" s="455">
        <f>GASTOS!AG43</f>
        <v>1049535040</v>
      </c>
      <c r="Q23" s="459">
        <f t="shared" si="1"/>
        <v>2260134024</v>
      </c>
      <c r="R23" s="455">
        <f>GASTOS!AI43</f>
        <v>0</v>
      </c>
      <c r="S23" s="455">
        <f>GASTOS!AJ43</f>
        <v>0</v>
      </c>
      <c r="T23" s="455">
        <f>GASTOS!AK43</f>
        <v>0</v>
      </c>
      <c r="U23" s="455">
        <f>GASTOS!AL43</f>
        <v>31049807</v>
      </c>
      <c r="V23" s="455">
        <f>GASTOS!AM43</f>
        <v>42717570</v>
      </c>
      <c r="W23" s="455">
        <f>GASTOS!AN43</f>
        <v>68905494</v>
      </c>
      <c r="X23" s="455">
        <f>GASTOS!AO43</f>
        <v>19335141</v>
      </c>
      <c r="Y23" s="455">
        <f>GASTOS!AP43</f>
        <v>418081880</v>
      </c>
      <c r="Z23" s="455">
        <f>GASTOS!AQ43</f>
        <v>88923970</v>
      </c>
      <c r="AA23" s="455">
        <f>GASTOS!AR43</f>
        <v>96395729</v>
      </c>
      <c r="AB23" s="455">
        <f>GASTOS!AS43</f>
        <v>81842060</v>
      </c>
      <c r="AC23" s="455">
        <f>GASTOS!AT43</f>
        <v>1412882373</v>
      </c>
      <c r="AD23" s="459">
        <f>SUM(R23:AC23)</f>
        <v>2260134024</v>
      </c>
    </row>
    <row r="24" spans="1:30" ht="11.25">
      <c r="A24" s="471" t="s">
        <v>322</v>
      </c>
      <c r="B24" s="466" t="s">
        <v>337</v>
      </c>
      <c r="C24" s="467">
        <f>GASTOS!O46+GASTOS!O56</f>
        <v>132559349000</v>
      </c>
      <c r="D24" s="467">
        <f>GASTOS!U46+GASTOS!U56</f>
        <v>132559349000</v>
      </c>
      <c r="E24" s="467">
        <f>GASTOS!V46+GASTOS!V56</f>
        <v>123081349000</v>
      </c>
      <c r="F24" s="467">
        <f>GASTOS!W46+GASTOS!W56</f>
        <v>0</v>
      </c>
      <c r="G24" s="467">
        <f>GASTOS!X46+GASTOS!X56</f>
        <v>0</v>
      </c>
      <c r="H24" s="467">
        <f>GASTOS!Y46+GASTOS!Y56</f>
        <v>0</v>
      </c>
      <c r="I24" s="467">
        <f>GASTOS!Z46+GASTOS!Z56</f>
        <v>0</v>
      </c>
      <c r="J24" s="467">
        <f>GASTOS!AA46+GASTOS!AA56</f>
        <v>500000000</v>
      </c>
      <c r="K24" s="467">
        <f>GASTOS!AB46+GASTOS!AB56</f>
        <v>0</v>
      </c>
      <c r="L24" s="467">
        <f>GASTOS!AC46+GASTOS!AC56</f>
        <v>0</v>
      </c>
      <c r="M24" s="467">
        <f>GASTOS!AD46+GASTOS!AD56</f>
        <v>0</v>
      </c>
      <c r="N24" s="467">
        <f>GASTOS!AE46+GASTOS!AE56</f>
        <v>0</v>
      </c>
      <c r="O24" s="467">
        <f>GASTOS!AF46+GASTOS!AF56</f>
        <v>0</v>
      </c>
      <c r="P24" s="467">
        <f>GASTOS!AG46+GASTOS!AG56</f>
        <v>-11655615631</v>
      </c>
      <c r="Q24" s="459">
        <f t="shared" si="1"/>
        <v>111925733369</v>
      </c>
      <c r="R24" s="467">
        <f>GASTOS!AV46+GASTOS!AV56</f>
        <v>20128104</v>
      </c>
      <c r="S24" s="467">
        <f>GASTOS!AW46+GASTOS!AW56</f>
        <v>6387516037</v>
      </c>
      <c r="T24" s="467">
        <f>GASTOS!AX46+GASTOS!AX56</f>
        <v>12078376575</v>
      </c>
      <c r="U24" s="467">
        <f>GASTOS!AY46+GASTOS!AY56</f>
        <v>11258258931</v>
      </c>
      <c r="V24" s="467">
        <f>GASTOS!AZ46+GASTOS!AZ56</f>
        <v>4714559766</v>
      </c>
      <c r="W24" s="467">
        <f>GASTOS!BA46+GASTOS!BA56</f>
        <v>8830499959</v>
      </c>
      <c r="X24" s="467">
        <f>GASTOS!BB46+GASTOS!BB56</f>
        <v>12595782576</v>
      </c>
      <c r="Y24" s="467">
        <f>GASTOS!BC46+GASTOS!BC56</f>
        <v>9342035117</v>
      </c>
      <c r="Z24" s="467">
        <f>GASTOS!BD46+GASTOS!BD56</f>
        <v>12774103667</v>
      </c>
      <c r="AA24" s="467">
        <f>GASTOS!BE46+GASTOS!BE56</f>
        <v>10471871803</v>
      </c>
      <c r="AB24" s="467">
        <f>GASTOS!BF46+GASTOS!BF56</f>
        <v>4804212881</v>
      </c>
      <c r="AC24" s="467">
        <f>GASTOS!BG46+GASTOS!BG56</f>
        <v>9992814538</v>
      </c>
      <c r="AD24" s="459">
        <f>SUM(R24:AC24)</f>
        <v>103270159954</v>
      </c>
    </row>
    <row r="25" spans="1:30" ht="33.75">
      <c r="A25" s="470" t="s">
        <v>326</v>
      </c>
      <c r="B25" s="454" t="s">
        <v>327</v>
      </c>
      <c r="C25" s="455">
        <f>GASTOS!O57</f>
        <v>5000000000</v>
      </c>
      <c r="D25" s="455">
        <f>GASTOS!U57</f>
        <v>5000000000</v>
      </c>
      <c r="E25" s="455">
        <f>GASTOS!V57</f>
        <v>5000000000</v>
      </c>
      <c r="F25" s="455">
        <f>GASTOS!W57</f>
        <v>0</v>
      </c>
      <c r="G25" s="455">
        <f>GASTOS!X57</f>
        <v>0</v>
      </c>
      <c r="H25" s="455">
        <f>GASTOS!Y57</f>
        <v>0</v>
      </c>
      <c r="I25" s="455">
        <f>GASTOS!Z57</f>
        <v>0</v>
      </c>
      <c r="J25" s="455">
        <f>GASTOS!AA57</f>
        <v>0</v>
      </c>
      <c r="K25" s="455">
        <f>GASTOS!AB57</f>
        <v>0</v>
      </c>
      <c r="L25" s="455">
        <f>GASTOS!AC57</f>
        <v>0</v>
      </c>
      <c r="M25" s="455">
        <f>GASTOS!AD57</f>
        <v>0</v>
      </c>
      <c r="N25" s="455">
        <f>GASTOS!AE57</f>
        <v>0</v>
      </c>
      <c r="O25" s="455">
        <f>GASTOS!AF57</f>
        <v>0</v>
      </c>
      <c r="P25" s="455">
        <f>GASTOS!AG57</f>
        <v>0</v>
      </c>
      <c r="Q25" s="459">
        <f t="shared" si="1"/>
        <v>5000000000</v>
      </c>
      <c r="R25" s="455">
        <f>GASTOS!AV57</f>
        <v>0</v>
      </c>
      <c r="S25" s="455">
        <f>GASTOS!AW57</f>
        <v>0</v>
      </c>
      <c r="T25" s="455">
        <f>GASTOS!AX57</f>
        <v>0</v>
      </c>
      <c r="U25" s="455">
        <f>GASTOS!AY57</f>
        <v>0</v>
      </c>
      <c r="V25" s="455">
        <f>GASTOS!AZ57</f>
        <v>0</v>
      </c>
      <c r="W25" s="455">
        <f>GASTOS!BA57</f>
        <v>0</v>
      </c>
      <c r="X25" s="455">
        <f>GASTOS!BB57</f>
        <v>1256310000</v>
      </c>
      <c r="Y25" s="455">
        <f>GASTOS!BC57</f>
        <v>30820000</v>
      </c>
      <c r="Z25" s="455">
        <f>GASTOS!BD57</f>
        <v>0</v>
      </c>
      <c r="AA25" s="455">
        <f>GASTOS!BE57</f>
        <v>0</v>
      </c>
      <c r="AB25" s="455">
        <f>GASTOS!BF57</f>
        <v>0</v>
      </c>
      <c r="AC25" s="455">
        <f>GASTOS!BG57</f>
        <v>0</v>
      </c>
      <c r="AD25" s="459">
        <f aca="true" t="shared" si="2" ref="AD25:AD33">SUM(R25:AC25)</f>
        <v>1287130000</v>
      </c>
    </row>
    <row r="26" spans="1:30" ht="22.5">
      <c r="A26" s="470" t="s">
        <v>328</v>
      </c>
      <c r="B26" s="454" t="s">
        <v>188</v>
      </c>
      <c r="C26" s="455">
        <f>GASTOS!O47</f>
        <v>1500000000</v>
      </c>
      <c r="D26" s="455">
        <f>GASTOS!U47</f>
        <v>1500000000</v>
      </c>
      <c r="E26" s="455">
        <f>GASTOS!V47</f>
        <v>1500000000</v>
      </c>
      <c r="F26" s="455">
        <f>GASTOS!W47</f>
        <v>0</v>
      </c>
      <c r="G26" s="455">
        <f>GASTOS!X47</f>
        <v>0</v>
      </c>
      <c r="H26" s="455">
        <f>GASTOS!Y47</f>
        <v>0</v>
      </c>
      <c r="I26" s="455">
        <f>GASTOS!Z47</f>
        <v>0</v>
      </c>
      <c r="J26" s="455">
        <f>GASTOS!AA47</f>
        <v>0</v>
      </c>
      <c r="K26" s="455">
        <f>GASTOS!AB47</f>
        <v>0</v>
      </c>
      <c r="L26" s="455">
        <f>GASTOS!AC47</f>
        <v>0</v>
      </c>
      <c r="M26" s="455">
        <f>GASTOS!AD47</f>
        <v>0</v>
      </c>
      <c r="N26" s="455">
        <f>GASTOS!AE47</f>
        <v>0</v>
      </c>
      <c r="O26" s="455">
        <f>GASTOS!AF47</f>
        <v>0</v>
      </c>
      <c r="P26" s="455">
        <f>GASTOS!AG47</f>
        <v>-389254057</v>
      </c>
      <c r="Q26" s="459">
        <f t="shared" si="1"/>
        <v>1110745943</v>
      </c>
      <c r="R26" s="455">
        <f>GASTOS!AV47</f>
        <v>0</v>
      </c>
      <c r="S26" s="455">
        <f>GASTOS!AW47</f>
        <v>4660000</v>
      </c>
      <c r="T26" s="455">
        <f>GASTOS!AX47</f>
        <v>4539760</v>
      </c>
      <c r="U26" s="455">
        <f>GASTOS!AY47</f>
        <v>27481020</v>
      </c>
      <c r="V26" s="455">
        <f>GASTOS!AZ47</f>
        <v>48052292</v>
      </c>
      <c r="W26" s="455">
        <f>GASTOS!BA47</f>
        <v>60450732</v>
      </c>
      <c r="X26" s="455">
        <f>GASTOS!BB47</f>
        <v>100128870</v>
      </c>
      <c r="Y26" s="455">
        <f>GASTOS!BC47</f>
        <v>74962240</v>
      </c>
      <c r="Z26" s="455">
        <f>GASTOS!BD47</f>
        <v>212700885</v>
      </c>
      <c r="AA26" s="455">
        <f>GASTOS!BE47</f>
        <v>113415295</v>
      </c>
      <c r="AB26" s="455">
        <f>GASTOS!BF47</f>
        <v>103432180</v>
      </c>
      <c r="AC26" s="455">
        <f>GASTOS!BG47</f>
        <v>300017497</v>
      </c>
      <c r="AD26" s="459">
        <f t="shared" si="2"/>
        <v>1049840771</v>
      </c>
    </row>
    <row r="27" spans="1:30" ht="33.75">
      <c r="A27" s="470" t="s">
        <v>323</v>
      </c>
      <c r="B27" s="454" t="s">
        <v>193</v>
      </c>
      <c r="C27" s="455">
        <f>GASTOS!O48+GASTOS!O58</f>
        <v>1968000000</v>
      </c>
      <c r="D27" s="455">
        <f>GASTOS!U48+GASTOS!U58</f>
        <v>1968000000</v>
      </c>
      <c r="E27" s="455">
        <f>GASTOS!V48+GASTOS!V58</f>
        <v>1050000000</v>
      </c>
      <c r="F27" s="455">
        <f>GASTOS!W48+GASTOS!W58</f>
        <v>0</v>
      </c>
      <c r="G27" s="455">
        <f>GASTOS!X48+GASTOS!X58</f>
        <v>0</v>
      </c>
      <c r="H27" s="455">
        <f>GASTOS!Y48+GASTOS!Y58</f>
        <v>0</v>
      </c>
      <c r="I27" s="455">
        <f>GASTOS!Z48+GASTOS!Z58</f>
        <v>0</v>
      </c>
      <c r="J27" s="455">
        <f>GASTOS!AA48+GASTOS!AA58</f>
        <v>0</v>
      </c>
      <c r="K27" s="455">
        <f>GASTOS!AB48+GASTOS!AB58</f>
        <v>0</v>
      </c>
      <c r="L27" s="455">
        <f>GASTOS!AC48+GASTOS!AC58</f>
        <v>0</v>
      </c>
      <c r="M27" s="455">
        <f>GASTOS!AD48+GASTOS!AD58</f>
        <v>0</v>
      </c>
      <c r="N27" s="455">
        <f>GASTOS!AE48+GASTOS!AE58</f>
        <v>0</v>
      </c>
      <c r="O27" s="455">
        <f>GASTOS!AF48+GASTOS!AF58</f>
        <v>0</v>
      </c>
      <c r="P27" s="455">
        <f>GASTOS!AG48+GASTOS!AG58</f>
        <v>-555359220</v>
      </c>
      <c r="Q27" s="459">
        <f t="shared" si="1"/>
        <v>494640780</v>
      </c>
      <c r="R27" s="455">
        <f>GASTOS!AV48</f>
        <v>0</v>
      </c>
      <c r="S27" s="455">
        <f>GASTOS!AW48</f>
        <v>13379597</v>
      </c>
      <c r="T27" s="455">
        <f>GASTOS!AX48</f>
        <v>17258234</v>
      </c>
      <c r="U27" s="455">
        <f>GASTOS!AY48</f>
        <v>46146654</v>
      </c>
      <c r="V27" s="455">
        <f>GASTOS!AZ48</f>
        <v>19216220</v>
      </c>
      <c r="W27" s="455">
        <f>GASTOS!BA48</f>
        <v>27649097</v>
      </c>
      <c r="X27" s="455">
        <f>GASTOS!BB48</f>
        <v>28460847</v>
      </c>
      <c r="Y27" s="455">
        <f>GASTOS!BC48</f>
        <v>25262675</v>
      </c>
      <c r="Z27" s="455">
        <f>GASTOS!BD48</f>
        <v>51354430</v>
      </c>
      <c r="AA27" s="455">
        <f>GASTOS!BE48</f>
        <v>62069985</v>
      </c>
      <c r="AB27" s="455">
        <f>GASTOS!BF48</f>
        <v>42979448</v>
      </c>
      <c r="AC27" s="455">
        <f>GASTOS!BG48</f>
        <v>64464944</v>
      </c>
      <c r="AD27" s="459">
        <f t="shared" si="2"/>
        <v>398242131</v>
      </c>
    </row>
    <row r="28" spans="1:30" ht="33.75">
      <c r="A28" s="470" t="s">
        <v>324</v>
      </c>
      <c r="B28" s="454" t="s">
        <v>191</v>
      </c>
      <c r="C28" s="455">
        <f>GASTOS!O49+GASTOS!O50+GASTOS!O59</f>
        <v>109627349000</v>
      </c>
      <c r="D28" s="455">
        <f>GASTOS!U49+GASTOS!U50+GASTOS!U59</f>
        <v>109627349000</v>
      </c>
      <c r="E28" s="455">
        <f>GASTOS!V49+GASTOS!V50+GASTOS!V59</f>
        <v>109627349000</v>
      </c>
      <c r="F28" s="455">
        <f>GASTOS!W49+GASTOS!W50+GASTOS!W59</f>
        <v>0</v>
      </c>
      <c r="G28" s="455">
        <f>GASTOS!X49+GASTOS!X50+GASTOS!X59</f>
        <v>0</v>
      </c>
      <c r="H28" s="455">
        <f>GASTOS!Y49+GASTOS!Y50+GASTOS!Y59</f>
        <v>0</v>
      </c>
      <c r="I28" s="455">
        <f>GASTOS!Z49+GASTOS!Z50+GASTOS!Z59</f>
        <v>0</v>
      </c>
      <c r="J28" s="455">
        <f>GASTOS!AA49+GASTOS!AA50+GASTOS!AA59</f>
        <v>0</v>
      </c>
      <c r="K28" s="455">
        <f>GASTOS!AB49+GASTOS!AB50+GASTOS!AB59</f>
        <v>0</v>
      </c>
      <c r="L28" s="455">
        <f>GASTOS!AC49+GASTOS!AC50+GASTOS!AC59</f>
        <v>0</v>
      </c>
      <c r="M28" s="455">
        <f>GASTOS!AD49+GASTOS!AD50+GASTOS!AD59</f>
        <v>0</v>
      </c>
      <c r="N28" s="455">
        <f>GASTOS!AE49+GASTOS!AE50+GASTOS!AE59</f>
        <v>0</v>
      </c>
      <c r="O28" s="455">
        <f>GASTOS!AF49+GASTOS!AF50+GASTOS!AF59</f>
        <v>0</v>
      </c>
      <c r="P28" s="455">
        <f>GASTOS!AG49+GASTOS!AG50+GASTOS!AG59</f>
        <v>-10164296671</v>
      </c>
      <c r="Q28" s="459">
        <f t="shared" si="1"/>
        <v>99463052329</v>
      </c>
      <c r="R28" s="455">
        <f>GASTOS!AV49+GASTOS!AV50+GASTOS!AV59</f>
        <v>20128104</v>
      </c>
      <c r="S28" s="455">
        <f>GASTOS!AW49+GASTOS!AW50+GASTOS!AW59</f>
        <v>6228513011</v>
      </c>
      <c r="T28" s="455">
        <f>GASTOS!AX49+GASTOS!AX50+GASTOS!AX59</f>
        <v>11913818712</v>
      </c>
      <c r="U28" s="455">
        <f>GASTOS!AY49+GASTOS!AY50+GASTOS!AY59</f>
        <v>11147400737</v>
      </c>
      <c r="V28" s="455">
        <f>GASTOS!AZ49+GASTOS!AZ50+GASTOS!AZ59</f>
        <v>4281652712</v>
      </c>
      <c r="W28" s="455">
        <f>GASTOS!BA49+GASTOS!BA50+GASTOS!BA59</f>
        <v>8601133894</v>
      </c>
      <c r="X28" s="455">
        <f>GASTOS!BB49+GASTOS!BB50+GASTOS!BB59</f>
        <v>11140401280</v>
      </c>
      <c r="Y28" s="455">
        <f>GASTOS!BC49+GASTOS!BC50+GASTOS!BC59</f>
        <v>9208219297</v>
      </c>
      <c r="Z28" s="455">
        <f>GASTOS!BD49+GASTOS!BD50+GASTOS!BD59</f>
        <v>12508812352</v>
      </c>
      <c r="AA28" s="455">
        <f>GASTOS!BE49+GASTOS!BE50+GASTOS!BE59</f>
        <v>10296386523</v>
      </c>
      <c r="AB28" s="455">
        <f>GASTOS!BF49+GASTOS!BF50+GASTOS!BF59</f>
        <v>4157493253</v>
      </c>
      <c r="AC28" s="455">
        <f>GASTOS!BG49+GASTOS!BG50+GASTOS!BG59</f>
        <v>8028696366</v>
      </c>
      <c r="AD28" s="459">
        <f t="shared" si="2"/>
        <v>97532656241</v>
      </c>
    </row>
    <row r="29" spans="1:30" ht="22.5">
      <c r="A29" s="470" t="s">
        <v>329</v>
      </c>
      <c r="B29" s="454" t="s">
        <v>200</v>
      </c>
      <c r="C29" s="455">
        <f>GASTOS!O60</f>
        <v>7020000000</v>
      </c>
      <c r="D29" s="455">
        <f>GASTOS!U60</f>
        <v>7020000000</v>
      </c>
      <c r="E29" s="455">
        <f>GASTOS!V60</f>
        <v>3960000000</v>
      </c>
      <c r="F29" s="455">
        <f>GASTOS!W60</f>
        <v>0</v>
      </c>
      <c r="G29" s="455">
        <f>GASTOS!X60</f>
        <v>0</v>
      </c>
      <c r="H29" s="455">
        <f>GASTOS!Y60</f>
        <v>0</v>
      </c>
      <c r="I29" s="455">
        <f>GASTOS!Z60</f>
        <v>0</v>
      </c>
      <c r="J29" s="455">
        <f>GASTOS!AA60</f>
        <v>0</v>
      </c>
      <c r="K29" s="455">
        <f>GASTOS!AB60</f>
        <v>0</v>
      </c>
      <c r="L29" s="455">
        <f>GASTOS!AC60</f>
        <v>0</v>
      </c>
      <c r="M29" s="455">
        <f>GASTOS!AD60</f>
        <v>0</v>
      </c>
      <c r="N29" s="455">
        <f>GASTOS!AE60</f>
        <v>0</v>
      </c>
      <c r="O29" s="455">
        <f>GASTOS!AF60</f>
        <v>0</v>
      </c>
      <c r="P29" s="455">
        <f>GASTOS!AG60</f>
        <v>-46705683</v>
      </c>
      <c r="Q29" s="459">
        <f t="shared" si="1"/>
        <v>3913294317</v>
      </c>
      <c r="R29" s="455">
        <f>GASTOS!AV60</f>
        <v>0</v>
      </c>
      <c r="S29" s="455">
        <f>GASTOS!AW60</f>
        <v>140963429</v>
      </c>
      <c r="T29" s="455">
        <f>GASTOS!AX60</f>
        <v>107316869</v>
      </c>
      <c r="U29" s="455">
        <f>GASTOS!AY60</f>
        <v>0</v>
      </c>
      <c r="V29" s="455">
        <f>GASTOS!AZ60</f>
        <v>92410691</v>
      </c>
      <c r="W29" s="455">
        <f>GASTOS!BA60</f>
        <v>86691116</v>
      </c>
      <c r="X29" s="455">
        <f>GASTOS!BB60</f>
        <v>57601579</v>
      </c>
      <c r="Y29" s="455">
        <f>GASTOS!BC60</f>
        <v>2770905</v>
      </c>
      <c r="Z29" s="455">
        <f>GASTOS!BD60</f>
        <v>1236000</v>
      </c>
      <c r="AA29" s="455">
        <f>GASTOS!BE60</f>
        <v>0</v>
      </c>
      <c r="AB29" s="455">
        <f>GASTOS!BF60</f>
        <v>500308000</v>
      </c>
      <c r="AC29" s="455">
        <f>GASTOS!BG60</f>
        <v>857148094</v>
      </c>
      <c r="AD29" s="459">
        <f t="shared" si="2"/>
        <v>1846446683</v>
      </c>
    </row>
    <row r="30" spans="1:30" ht="33.75">
      <c r="A30" s="470" t="s">
        <v>330</v>
      </c>
      <c r="B30" s="454" t="s">
        <v>298</v>
      </c>
      <c r="C30" s="455">
        <f>GASTOS!O61</f>
        <v>5000000000</v>
      </c>
      <c r="D30" s="455">
        <f>GASTOS!U61</f>
        <v>5000000000</v>
      </c>
      <c r="E30" s="455">
        <f>GASTOS!V61</f>
        <v>0</v>
      </c>
      <c r="F30" s="455">
        <f>GASTOS!W61</f>
        <v>0</v>
      </c>
      <c r="G30" s="455">
        <f>GASTOS!X61</f>
        <v>0</v>
      </c>
      <c r="H30" s="455">
        <f>GASTOS!Y61</f>
        <v>0</v>
      </c>
      <c r="I30" s="455">
        <f>GASTOS!Z61</f>
        <v>0</v>
      </c>
      <c r="J30" s="455">
        <f>GASTOS!AA61</f>
        <v>0</v>
      </c>
      <c r="K30" s="455">
        <f>GASTOS!AB61</f>
        <v>0</v>
      </c>
      <c r="L30" s="455">
        <f>GASTOS!AC61</f>
        <v>0</v>
      </c>
      <c r="M30" s="455">
        <f>GASTOS!AD61</f>
        <v>0</v>
      </c>
      <c r="N30" s="455">
        <f>GASTOS!AE61</f>
        <v>0</v>
      </c>
      <c r="O30" s="455">
        <f>GASTOS!AF61</f>
        <v>0</v>
      </c>
      <c r="P30" s="455">
        <f>GASTOS!AG61</f>
        <v>0</v>
      </c>
      <c r="Q30" s="459">
        <f t="shared" si="1"/>
        <v>0</v>
      </c>
      <c r="R30" s="455">
        <f>GASTOS!AV61</f>
        <v>0</v>
      </c>
      <c r="S30" s="455">
        <f>GASTOS!AW61</f>
        <v>0</v>
      </c>
      <c r="T30" s="455">
        <f>GASTOS!AX61</f>
        <v>0</v>
      </c>
      <c r="U30" s="455">
        <f>GASTOS!AY61</f>
        <v>0</v>
      </c>
      <c r="V30" s="455">
        <f>GASTOS!AZ61</f>
        <v>0</v>
      </c>
      <c r="W30" s="455">
        <f>GASTOS!BA61</f>
        <v>0</v>
      </c>
      <c r="X30" s="455">
        <f>GASTOS!BB61</f>
        <v>0</v>
      </c>
      <c r="Y30" s="455">
        <f>GASTOS!BC61</f>
        <v>0</v>
      </c>
      <c r="Z30" s="455">
        <f>GASTOS!BD61</f>
        <v>0</v>
      </c>
      <c r="AA30" s="455">
        <f>GASTOS!BE61</f>
        <v>0</v>
      </c>
      <c r="AB30" s="455">
        <f>GASTOS!BF61</f>
        <v>0</v>
      </c>
      <c r="AC30" s="455">
        <f>GASTOS!BG61</f>
        <v>0</v>
      </c>
      <c r="AD30" s="459">
        <f t="shared" si="2"/>
        <v>0</v>
      </c>
    </row>
    <row r="31" spans="1:30" ht="33.75">
      <c r="A31" s="470" t="s">
        <v>331</v>
      </c>
      <c r="B31" s="454" t="s">
        <v>203</v>
      </c>
      <c r="C31" s="455">
        <f>GASTOS!O62</f>
        <v>918000000</v>
      </c>
      <c r="D31" s="455">
        <f>GASTOS!U62</f>
        <v>918000000</v>
      </c>
      <c r="E31" s="455">
        <f>GASTOS!V62</f>
        <v>918000000</v>
      </c>
      <c r="F31" s="455">
        <f>GASTOS!W62</f>
        <v>0</v>
      </c>
      <c r="G31" s="455">
        <f>GASTOS!X62</f>
        <v>0</v>
      </c>
      <c r="H31" s="455">
        <f>GASTOS!Y62</f>
        <v>0</v>
      </c>
      <c r="I31" s="455">
        <f>GASTOS!Z62</f>
        <v>0</v>
      </c>
      <c r="J31" s="455">
        <f>GASTOS!AA62</f>
        <v>0</v>
      </c>
      <c r="K31" s="455">
        <f>GASTOS!AB62</f>
        <v>0</v>
      </c>
      <c r="L31" s="455">
        <f>GASTOS!AC62</f>
        <v>0</v>
      </c>
      <c r="M31" s="455">
        <f>GASTOS!AD62</f>
        <v>0</v>
      </c>
      <c r="N31" s="455">
        <f>GASTOS!AE62</f>
        <v>0</v>
      </c>
      <c r="O31" s="455">
        <f>GASTOS!AF62</f>
        <v>0</v>
      </c>
      <c r="P31" s="455">
        <f>GASTOS!AG62</f>
        <v>0</v>
      </c>
      <c r="Q31" s="459">
        <f t="shared" si="1"/>
        <v>918000000</v>
      </c>
      <c r="R31" s="455">
        <f>GASTOS!AV62</f>
        <v>0</v>
      </c>
      <c r="S31" s="455">
        <f>GASTOS!AW62</f>
        <v>0</v>
      </c>
      <c r="T31" s="455">
        <f>GASTOS!AX62</f>
        <v>0</v>
      </c>
      <c r="U31" s="455">
        <f>GASTOS!AY62</f>
        <v>0</v>
      </c>
      <c r="V31" s="455">
        <f>GASTOS!AZ62</f>
        <v>0</v>
      </c>
      <c r="W31" s="455">
        <f>GASTOS!BA62</f>
        <v>0</v>
      </c>
      <c r="X31" s="455">
        <f>GASTOS!BB62</f>
        <v>0</v>
      </c>
      <c r="Y31" s="455">
        <f>GASTOS!BC62</f>
        <v>0</v>
      </c>
      <c r="Z31" s="455">
        <f>GASTOS!BD62</f>
        <v>0</v>
      </c>
      <c r="AA31" s="455">
        <f>GASTOS!BE62</f>
        <v>0</v>
      </c>
      <c r="AB31" s="455">
        <f>GASTOS!BF62</f>
        <v>0</v>
      </c>
      <c r="AC31" s="455">
        <f>GASTOS!BG62</f>
        <v>366430000</v>
      </c>
      <c r="AD31" s="459">
        <f t="shared" si="2"/>
        <v>366430000</v>
      </c>
    </row>
    <row r="32" spans="1:30" ht="45">
      <c r="A32" s="470" t="s">
        <v>332</v>
      </c>
      <c r="B32" s="454" t="s">
        <v>205</v>
      </c>
      <c r="C32" s="455">
        <f>GASTOS!O63</f>
        <v>1026000000</v>
      </c>
      <c r="D32" s="455">
        <f>GASTOS!U63</f>
        <v>1026000000</v>
      </c>
      <c r="E32" s="455">
        <f>GASTOS!V63</f>
        <v>1026000000</v>
      </c>
      <c r="F32" s="455">
        <f>GASTOS!W63</f>
        <v>0</v>
      </c>
      <c r="G32" s="455">
        <f>GASTOS!X63</f>
        <v>0</v>
      </c>
      <c r="H32" s="455">
        <f>GASTOS!Y63</f>
        <v>0</v>
      </c>
      <c r="I32" s="455">
        <f>GASTOS!Z63</f>
        <v>0</v>
      </c>
      <c r="J32" s="455">
        <f>GASTOS!AA63</f>
        <v>0</v>
      </c>
      <c r="K32" s="455">
        <f>GASTOS!AB63</f>
        <v>0</v>
      </c>
      <c r="L32" s="455">
        <f>GASTOS!AC63</f>
        <v>0</v>
      </c>
      <c r="M32" s="455">
        <f>GASTOS!AD63</f>
        <v>0</v>
      </c>
      <c r="N32" s="455">
        <f>GASTOS!AE63</f>
        <v>0</v>
      </c>
      <c r="O32" s="455">
        <f>GASTOS!AF63</f>
        <v>0</v>
      </c>
      <c r="P32" s="455">
        <f>GASTOS!AG63</f>
        <v>0</v>
      </c>
      <c r="Q32" s="459">
        <f t="shared" si="1"/>
        <v>1026000000</v>
      </c>
      <c r="R32" s="455">
        <f>GASTOS!AV63</f>
        <v>0</v>
      </c>
      <c r="S32" s="455">
        <f>GASTOS!AW63</f>
        <v>0</v>
      </c>
      <c r="T32" s="455">
        <f>GASTOS!AX63</f>
        <v>35443000</v>
      </c>
      <c r="U32" s="455">
        <f>GASTOS!AY63</f>
        <v>37230520</v>
      </c>
      <c r="V32" s="455">
        <f>GASTOS!AZ63</f>
        <v>273227851</v>
      </c>
      <c r="W32" s="455">
        <f>GASTOS!BA63</f>
        <v>54575120</v>
      </c>
      <c r="X32" s="455">
        <f>GASTOS!BB63</f>
        <v>12880000</v>
      </c>
      <c r="Y32" s="455">
        <f>GASTOS!BC63</f>
        <v>0</v>
      </c>
      <c r="Z32" s="455">
        <f>GASTOS!BD63</f>
        <v>0</v>
      </c>
      <c r="AA32" s="455">
        <f>GASTOS!BE63</f>
        <v>0</v>
      </c>
      <c r="AB32" s="455">
        <f>GASTOS!BF63</f>
        <v>0</v>
      </c>
      <c r="AC32" s="455">
        <f>GASTOS!BG63</f>
        <v>376057637</v>
      </c>
      <c r="AD32" s="459">
        <f t="shared" si="2"/>
        <v>789414128</v>
      </c>
    </row>
    <row r="33" spans="1:30" ht="32.25" customHeight="1">
      <c r="A33" s="470" t="s">
        <v>325</v>
      </c>
      <c r="B33" s="454" t="s">
        <v>260</v>
      </c>
      <c r="C33" s="455">
        <f>GASTOS!O51</f>
        <v>500000000</v>
      </c>
      <c r="D33" s="455">
        <f>GASTOS!U51</f>
        <v>500000000</v>
      </c>
      <c r="E33" s="455">
        <f>GASTOS!V51</f>
        <v>0</v>
      </c>
      <c r="F33" s="455">
        <f>GASTOS!W51</f>
        <v>0</v>
      </c>
      <c r="G33" s="455">
        <f>GASTOS!X51</f>
        <v>0</v>
      </c>
      <c r="H33" s="455">
        <f>GASTOS!Y51</f>
        <v>0</v>
      </c>
      <c r="I33" s="455">
        <f>GASTOS!Z51</f>
        <v>0</v>
      </c>
      <c r="J33" s="455">
        <f>GASTOS!AA51</f>
        <v>500000000</v>
      </c>
      <c r="K33" s="455">
        <f>GASTOS!AB51</f>
        <v>0</v>
      </c>
      <c r="L33" s="455">
        <f>GASTOS!AC51</f>
        <v>0</v>
      </c>
      <c r="M33" s="455">
        <f>GASTOS!AD51</f>
        <v>0</v>
      </c>
      <c r="N33" s="455">
        <f>GASTOS!AE51</f>
        <v>0</v>
      </c>
      <c r="O33" s="455">
        <f>GASTOS!AF51</f>
        <v>0</v>
      </c>
      <c r="P33" s="455">
        <f>GASTOS!AG51</f>
        <v>-500000000</v>
      </c>
      <c r="Q33" s="459">
        <f t="shared" si="1"/>
        <v>0</v>
      </c>
      <c r="R33" s="455">
        <f>GASTOS!AV51</f>
        <v>0</v>
      </c>
      <c r="S33" s="455">
        <f>GASTOS!AW51</f>
        <v>0</v>
      </c>
      <c r="T33" s="455">
        <f>GASTOS!AX51</f>
        <v>0</v>
      </c>
      <c r="U33" s="455">
        <f>GASTOS!AY51</f>
        <v>0</v>
      </c>
      <c r="V33" s="455">
        <f>GASTOS!AZ51</f>
        <v>0</v>
      </c>
      <c r="W33" s="455">
        <f>GASTOS!BA51</f>
        <v>0</v>
      </c>
      <c r="X33" s="455">
        <f>GASTOS!BB51</f>
        <v>0</v>
      </c>
      <c r="Y33" s="455">
        <f>GASTOS!BC51</f>
        <v>0</v>
      </c>
      <c r="Z33" s="455">
        <f>GASTOS!BD51</f>
        <v>0</v>
      </c>
      <c r="AA33" s="455">
        <f>GASTOS!BE51</f>
        <v>0</v>
      </c>
      <c r="AB33" s="455">
        <f>GASTOS!BF51</f>
        <v>0</v>
      </c>
      <c r="AC33" s="455">
        <f>GASTOS!BG51</f>
        <v>0</v>
      </c>
      <c r="AD33" s="459">
        <f t="shared" si="2"/>
        <v>0</v>
      </c>
    </row>
  </sheetData>
  <printOptions horizontalCentered="1" verticalCentered="1"/>
  <pageMargins left="0.95" right="0.31" top="1.15" bottom="0.55" header="0.62" footer="0"/>
  <pageSetup horizontalDpi="300" verticalDpi="300" orientation="landscape" paperSize="5" scale="80" r:id="rId1"/>
  <headerFooter alignWithMargins="0">
    <oddHeader xml:space="preserve">&amp;L                    &amp;D&amp;C&amp;"Arial,Negrita"&amp;12INFORME MENSUALIZADO  DE INGRESOS Y GASTOS 
OFICINA DE PLANEACION </oddHeader>
    <oddFooter>&amp;L                   GPR&amp;R&amp;F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GPR/Nelson</dc:creator>
  <cp:keywords/>
  <dc:description/>
  <cp:lastModifiedBy>Carlos Caicedo</cp:lastModifiedBy>
  <cp:lastPrinted>2003-01-20T14:50:58Z</cp:lastPrinted>
  <dcterms:created xsi:type="dcterms:W3CDTF">1998-05-13T20:09:52Z</dcterms:created>
  <dcterms:modified xsi:type="dcterms:W3CDTF">2003-08-04T13:12:41Z</dcterms:modified>
  <cp:category/>
  <cp:version/>
  <cp:contentType/>
  <cp:contentStatus/>
</cp:coreProperties>
</file>