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525" windowHeight="5085" activeTab="1"/>
  </bookViews>
  <sheets>
    <sheet name="INGRESOS" sheetId="1" r:id="rId1"/>
    <sheet name="GASTOS" sheetId="2" r:id="rId2"/>
    <sheet name="PAC" sheetId="3" r:id="rId3"/>
    <sheet name="CxP" sheetId="4" r:id="rId4"/>
    <sheet name="Res.Presupuestal" sheetId="5" r:id="rId5"/>
    <sheet name="VIGILANCIA FISCAL" sheetId="6" r:id="rId6"/>
  </sheets>
  <externalReferences>
    <externalReference r:id="rId9"/>
  </externalReferences>
  <definedNames>
    <definedName name="\a" localSheetId="3">'[1]INGRESOS'!#REF!</definedName>
    <definedName name="\a" localSheetId="4">'[1]INGRESOS'!#REF!</definedName>
    <definedName name="\a">'INGRESOS'!#REF!</definedName>
    <definedName name="\z" localSheetId="3">'CxP'!#REF!</definedName>
    <definedName name="\z" localSheetId="4">'Res.Presupuestal'!#REF!</definedName>
    <definedName name="\z">'GASTOS'!#REF!</definedName>
    <definedName name="_Regression_Int" localSheetId="3" hidden="1">1</definedName>
    <definedName name="_Regression_Int" localSheetId="1" hidden="1">1</definedName>
    <definedName name="_Regression_Int" localSheetId="0" hidden="1">1</definedName>
    <definedName name="_Regression_Int" localSheetId="2" hidden="1">1</definedName>
    <definedName name="_Regression_Int" localSheetId="4" hidden="1">1</definedName>
    <definedName name="C_" localSheetId="3">'CxP'!#REF!</definedName>
    <definedName name="C_" localSheetId="4">'Res.Presupuestal'!#REF!</definedName>
    <definedName name="C_">'GASTOS'!#REF!</definedName>
    <definedName name="Cargo" localSheetId="3">'[1]INGRESOS'!#REF!</definedName>
    <definedName name="Cargo" localSheetId="4">'[1]INGRESOS'!#REF!</definedName>
    <definedName name="Cargo">'INGRESOS'!#REF!</definedName>
    <definedName name="Firma" localSheetId="3">'[1]INGRESOS'!#REF!</definedName>
    <definedName name="Firma" localSheetId="4">'[1]INGRESOS'!#REF!</definedName>
    <definedName name="Firma">'INGRESOS'!#REF!</definedName>
    <definedName name="GASTOS" localSheetId="3">'CxP'!$A$1:$AY$23</definedName>
    <definedName name="GASTOS" localSheetId="4">'Res.Presupuestal'!$A$1:$AZ$10</definedName>
    <definedName name="GASTOS">'GASTOS'!$A$1:$BK$41</definedName>
    <definedName name="INGRESOS">'INGRESOS'!$A$1:$Y$34</definedName>
    <definedName name="PAC">'PAC'!$A$1:$AL$25</definedName>
    <definedName name="RES_APROP">#REF!</definedName>
    <definedName name="_xlnm.Print_Titles" localSheetId="3">'CxP'!$1:$7</definedName>
    <definedName name="_xlnm.Print_Titles" localSheetId="1">'GASTOS'!$1:$7</definedName>
    <definedName name="_xlnm.Print_Titles" localSheetId="4">'Res.Presupuestal'!$1:$7</definedName>
  </definedNames>
  <calcPr fullCalcOnLoad="1"/>
</workbook>
</file>

<file path=xl/sharedStrings.xml><?xml version="1.0" encoding="utf-8"?>
<sst xmlns="http://schemas.openxmlformats.org/spreadsheetml/2006/main" count="1850" uniqueCount="289">
  <si>
    <t>Sección Principal</t>
  </si>
  <si>
    <t xml:space="preserve"> 22 MinEducación</t>
  </si>
  <si>
    <t>Mes Reportado: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</si>
  <si>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</si>
  <si>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</si>
  <si>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</si>
  <si>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</si>
  <si>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</si>
  <si>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</si>
  <si>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</si>
  <si>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</si>
  <si>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</si>
  <si>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</si>
  <si>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</si>
  <si>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</si>
  <si>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</si>
  <si>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Fecha:</t>
  </si>
  <si>
    <t>Sección</t>
  </si>
  <si>
    <t>Vigencia Fiscal:</t>
  </si>
  <si>
    <t>PRESUPUESTO</t>
  </si>
  <si>
    <t>MODIFICACIONES</t>
  </si>
  <si>
    <t>RECAUDO</t>
  </si>
  <si>
    <t>RECAUDOS</t>
  </si>
  <si>
    <t>SALDO</t>
  </si>
  <si>
    <t>NIVEL</t>
  </si>
  <si>
    <t>DESCRIPCION</t>
  </si>
  <si>
    <t>Recono-</t>
  </si>
  <si>
    <t>INICIAL</t>
  </si>
  <si>
    <t>ADICIONES</t>
  </si>
  <si>
    <t>REDUCCIONES</t>
  </si>
  <si>
    <t>DEFINITIVO</t>
  </si>
  <si>
    <t>ACUMULADOS</t>
  </si>
  <si>
    <t>cimiento</t>
  </si>
  <si>
    <t>(1)</t>
  </si>
  <si>
    <t>(2)</t>
  </si>
  <si>
    <t>(3)</t>
  </si>
  <si>
    <t>(4=1+2-3)</t>
  </si>
  <si>
    <t>(5)</t>
  </si>
  <si>
    <t>(6)</t>
  </si>
  <si>
    <t>(7=4-6)</t>
  </si>
  <si>
    <t>3000</t>
  </si>
  <si>
    <t>I. RECURSOS PROPIOS (A+B)</t>
  </si>
  <si>
    <t>3100</t>
  </si>
  <si>
    <t>3110</t>
  </si>
  <si>
    <t xml:space="preserve">      TRIBUTARIOS</t>
  </si>
  <si>
    <t>3111</t>
  </si>
  <si>
    <t xml:space="preserve">         IMPUESTOS</t>
  </si>
  <si>
    <t>3112</t>
  </si>
  <si>
    <t xml:space="preserve">         CONTRIBUCIONES</t>
  </si>
  <si>
    <t>3120</t>
  </si>
  <si>
    <t xml:space="preserve">      NO TRIBUTARIOS</t>
  </si>
  <si>
    <t>3121</t>
  </si>
  <si>
    <t xml:space="preserve">         VENTA DE BIENES Y SERVICIOS</t>
  </si>
  <si>
    <t>3122</t>
  </si>
  <si>
    <t xml:space="preserve">         RENTAS CONTRACTUALES</t>
  </si>
  <si>
    <t>3123</t>
  </si>
  <si>
    <t xml:space="preserve">         OPERACIONES COMERCIALES</t>
  </si>
  <si>
    <t>3124</t>
  </si>
  <si>
    <t xml:space="preserve">         APORTES PATRONALES</t>
  </si>
  <si>
    <t>3125</t>
  </si>
  <si>
    <t xml:space="preserve">         APORTES DE AFILIADOS</t>
  </si>
  <si>
    <t>3126</t>
  </si>
  <si>
    <t xml:space="preserve">         APORTES DE OTRAS ENTIDADES</t>
  </si>
  <si>
    <t>3127</t>
  </si>
  <si>
    <t xml:space="preserve">         DONACIONES</t>
  </si>
  <si>
    <t>3128</t>
  </si>
  <si>
    <t>3200</t>
  </si>
  <si>
    <t xml:space="preserve">   B. RECURSOS DE CAPITAL</t>
  </si>
  <si>
    <t>3210</t>
  </si>
  <si>
    <t xml:space="preserve">      CRÉDITO EXTERNO</t>
  </si>
  <si>
    <t>3220</t>
  </si>
  <si>
    <t xml:space="preserve">      CRÉDITO INTERNO</t>
  </si>
  <si>
    <t>3230</t>
  </si>
  <si>
    <t>3240</t>
  </si>
  <si>
    <t xml:space="preserve">      DIFERENCIAL CAMBIARIO</t>
  </si>
  <si>
    <t>3250</t>
  </si>
  <si>
    <t xml:space="preserve">      RECURSOS DEL BALANCE  (3250..3254)</t>
  </si>
  <si>
    <t>3251</t>
  </si>
  <si>
    <t xml:space="preserve">         VENTA DE ACTIVOS</t>
  </si>
  <si>
    <t>3252</t>
  </si>
  <si>
    <t xml:space="preserve">         SUPERAVIT FISCAL</t>
  </si>
  <si>
    <t>3253</t>
  </si>
  <si>
    <t xml:space="preserve">         CANCELACION RESERVAS</t>
  </si>
  <si>
    <t>4000</t>
  </si>
  <si>
    <t>II. APORTES DE LA NACION</t>
  </si>
  <si>
    <t>4100</t>
  </si>
  <si>
    <t xml:space="preserve">    FUNCIONAMIENTO</t>
  </si>
  <si>
    <t>4200</t>
  </si>
  <si>
    <t xml:space="preserve">    DEUDA</t>
  </si>
  <si>
    <t>4300</t>
  </si>
  <si>
    <t xml:space="preserve">    INVERSION</t>
  </si>
  <si>
    <t>TOTAL INGRESOS (I+II)</t>
  </si>
  <si>
    <t>IDENTIFICACION PRESUPUESTAL</t>
  </si>
  <si>
    <t>APROPIACION</t>
  </si>
  <si>
    <t>MODIFICACIONES (2)</t>
  </si>
  <si>
    <t>COMPROMISOS</t>
  </si>
  <si>
    <t>OBLIGACIONES</t>
  </si>
  <si>
    <t>PAGOS</t>
  </si>
  <si>
    <t>RESERVA</t>
  </si>
  <si>
    <t>CUENTAS</t>
  </si>
  <si>
    <t>FID</t>
  </si>
  <si>
    <t>UE</t>
  </si>
  <si>
    <t>CT SC</t>
  </si>
  <si>
    <t>OBJG</t>
  </si>
  <si>
    <t>ORD</t>
  </si>
  <si>
    <t>REC</t>
  </si>
  <si>
    <t>TRASLADOS</t>
  </si>
  <si>
    <t>DEFINITIVA</t>
  </si>
  <si>
    <t>PRESUPUESTAL</t>
  </si>
  <si>
    <t>POR PAGAR</t>
  </si>
  <si>
    <t>PROGR</t>
  </si>
  <si>
    <t>SUBPR</t>
  </si>
  <si>
    <t>PROYE</t>
  </si>
  <si>
    <t>Contracréditos</t>
  </si>
  <si>
    <t>Créditos</t>
  </si>
  <si>
    <t>Aplazamientos</t>
  </si>
  <si>
    <t>Reducciones</t>
  </si>
  <si>
    <t>Adiciones</t>
  </si>
  <si>
    <t>(3=1-2)</t>
  </si>
  <si>
    <t>CONTRACREDITOS</t>
  </si>
  <si>
    <t>CREDITOS</t>
  </si>
  <si>
    <t>APLAZAMIENTOS</t>
  </si>
  <si>
    <t>(4)</t>
  </si>
  <si>
    <t>(6=3-4)</t>
  </si>
  <si>
    <t>(7=4-5)</t>
  </si>
  <si>
    <t>(8=5-6)</t>
  </si>
  <si>
    <t>RECURSOS ADMINISTRADOS</t>
  </si>
  <si>
    <t>F</t>
  </si>
  <si>
    <t xml:space="preserve"> </t>
  </si>
  <si>
    <t>TOTAL GASTOS DE FUNCIONAMIENTO</t>
  </si>
  <si>
    <t>00</t>
  </si>
  <si>
    <t>1</t>
  </si>
  <si>
    <t>Gastos de Personal</t>
  </si>
  <si>
    <t>1-0</t>
  </si>
  <si>
    <t>20</t>
  </si>
  <si>
    <t>Sueldos de Personal de Nomina</t>
  </si>
  <si>
    <t>2</t>
  </si>
  <si>
    <t>Horas Extras y Días Festivos</t>
  </si>
  <si>
    <t>3</t>
  </si>
  <si>
    <t>Indemnización por Vacaciones</t>
  </si>
  <si>
    <t>4</t>
  </si>
  <si>
    <t>Prima Técnica</t>
  </si>
  <si>
    <t>5</t>
  </si>
  <si>
    <t>Otros</t>
  </si>
  <si>
    <t>8</t>
  </si>
  <si>
    <t>Servicios Personales Indirectos</t>
  </si>
  <si>
    <t>Contribuciones inherentes a la Nómina Sector Privado</t>
  </si>
  <si>
    <t>Contribuciones inherentes a la Nómina Sector Público</t>
  </si>
  <si>
    <t>999</t>
  </si>
  <si>
    <t>Pagos Pasivos Exigibles Vigencias Expiradas</t>
  </si>
  <si>
    <t>Gastos Generales</t>
  </si>
  <si>
    <t>2-0</t>
  </si>
  <si>
    <t>Adquisición de Bienes</t>
  </si>
  <si>
    <t>Adquisición de Servicios</t>
  </si>
  <si>
    <t>Impuestos y Multas</t>
  </si>
  <si>
    <t>Transferencias Corrientes</t>
  </si>
  <si>
    <t>3-2</t>
  </si>
  <si>
    <t>Cuota de Auditaje Contranal</t>
  </si>
  <si>
    <t>Organismos Internacionales</t>
  </si>
  <si>
    <t>3-6</t>
  </si>
  <si>
    <t>Sentencias</t>
  </si>
  <si>
    <t>Superintendencia Bancaria Ley 18 de 1988</t>
  </si>
  <si>
    <t>D</t>
  </si>
  <si>
    <t>7</t>
  </si>
  <si>
    <t>SERVICIO DE DEUDA INTERNA</t>
  </si>
  <si>
    <t>7-1</t>
  </si>
  <si>
    <t>Amortización - Entidades Financieras</t>
  </si>
  <si>
    <t>7-2</t>
  </si>
  <si>
    <t>Intereses    - Entidades Financieras</t>
  </si>
  <si>
    <t>I</t>
  </si>
  <si>
    <t>TOTAL GASTOS DE INVERSIÓN</t>
  </si>
  <si>
    <t>GASTOS DE INVERSIÓN - RECURSOS PROPIOS</t>
  </si>
  <si>
    <t>221</t>
  </si>
  <si>
    <t>Adquisición y/o Producción de Equipos, Materiales, Suministros y Servicios Administrativos</t>
  </si>
  <si>
    <t>700</t>
  </si>
  <si>
    <t>Implantación de Modernización y Actualización del ICETEX</t>
  </si>
  <si>
    <t>310</t>
  </si>
  <si>
    <t>Divulgación, Asistencia Técnica y Capacitación del Recurso Humano</t>
  </si>
  <si>
    <t>709</t>
  </si>
  <si>
    <t>Asistencia a través de Créditos Condonables para Artistas Colombianos</t>
  </si>
  <si>
    <t>610</t>
  </si>
  <si>
    <t>CRÉDITOS</t>
  </si>
  <si>
    <t>100</t>
  </si>
  <si>
    <t>Capacitación en idiomas para aspirantes a estudios de postgrado en el exterior</t>
  </si>
  <si>
    <t>705</t>
  </si>
  <si>
    <t>15</t>
  </si>
  <si>
    <t>Implantación de Crédito Educativo para Estudios de Pregrado en el País, Postgrado en el País y en el Exterior</t>
  </si>
  <si>
    <t>21</t>
  </si>
  <si>
    <t>Asistencia a través de Créditos Condonables de Reciprocidad para Extranjeros en Colombia</t>
  </si>
  <si>
    <t>APORTES DE LA NACIÓN</t>
  </si>
  <si>
    <t>GASTOS DE INVERSIÓN - APORTE NACIONAL</t>
  </si>
  <si>
    <t>300</t>
  </si>
  <si>
    <t>10</t>
  </si>
  <si>
    <t>Crédito educativo para sostenimiento dirigido a profesionales que cursen especializaciones en el area de la salud</t>
  </si>
  <si>
    <t>Implantación apoyo a Mejores Bachilleres del País Art 99 Ley 115 de 1994</t>
  </si>
  <si>
    <t>27</t>
  </si>
  <si>
    <t>Asistencia a Comunidades Indígenas a través del Fondo de Créditos Condonables Alvaro Ulcue</t>
  </si>
  <si>
    <t>28</t>
  </si>
  <si>
    <t>Asistencia a Comunidades Negras a través de Créditos Condonables para Estudio de Pregrado y Postgrado en el País</t>
  </si>
  <si>
    <t>RESUMEN</t>
  </si>
  <si>
    <t>TOTAL RECURSOS ADMINISTRADOS</t>
  </si>
  <si>
    <t>TOTAL APORTES DE LA NACIÓN</t>
  </si>
  <si>
    <t>TOTAL PRESUPUESTO DE GASTOS</t>
  </si>
  <si>
    <t>Sección: 2203</t>
  </si>
  <si>
    <t>PAC</t>
  </si>
  <si>
    <t>SALDO PAC</t>
  </si>
  <si>
    <t>NU AR</t>
  </si>
  <si>
    <t>ORDIN</t>
  </si>
  <si>
    <t>SUBOR</t>
  </si>
  <si>
    <t>DISTRI</t>
  </si>
  <si>
    <t>APROBADO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</si>
  <si>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</si>
  <si>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</si>
  <si>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</si>
  <si>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</si>
  <si>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</si>
  <si>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</si>
  <si>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</si>
  <si>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</si>
  <si>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</si>
  <si>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</si>
  <si>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</si>
  <si>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</si>
  <si>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ADICION</t>
  </si>
  <si>
    <t>REDUCCION</t>
  </si>
  <si>
    <r>
      <t>(4=</t>
    </r>
    <r>
      <rPr>
        <sz val="10"/>
        <color indexed="8"/>
        <rFont val="Symbol"/>
        <family val="1"/>
      </rPr>
      <t>S</t>
    </r>
    <r>
      <rPr>
        <sz val="10"/>
        <color indexed="8"/>
        <rFont val="Arial"/>
        <family val="2"/>
      </rPr>
      <t>2+3)</t>
    </r>
  </si>
  <si>
    <r>
      <t>(6=</t>
    </r>
    <r>
      <rPr>
        <sz val="10"/>
        <color indexed="8"/>
        <rFont val="Symbol"/>
        <family val="1"/>
      </rPr>
      <t>S</t>
    </r>
    <r>
      <rPr>
        <sz val="10"/>
        <color indexed="8"/>
        <rFont val="Arial"/>
        <family val="2"/>
      </rPr>
      <t>5)</t>
    </r>
  </si>
  <si>
    <t>(7=6-4)</t>
  </si>
  <si>
    <t xml:space="preserve"> GASTOS DE FUNCIONAMIENTO</t>
  </si>
  <si>
    <t/>
  </si>
  <si>
    <t xml:space="preserve">  SERVICIOS PERSONALES</t>
  </si>
  <si>
    <t xml:space="preserve">  GASTOS GENERALES</t>
  </si>
  <si>
    <t xml:space="preserve">  TRANSFERENCIAS</t>
  </si>
  <si>
    <t xml:space="preserve"> GASTOS DE INVERSION</t>
  </si>
  <si>
    <t>TOTAL GASTOS RECURSOS ADMINISTRADOS</t>
  </si>
  <si>
    <t>CONTRALORIA DELEGADA PARA EL SECTOR SOCIAL</t>
  </si>
  <si>
    <t>DIRECCION DE VIGILANCIA FISCAL</t>
  </si>
  <si>
    <t>ENTIDAD:  2203  ICETEX</t>
  </si>
  <si>
    <t>MESES</t>
  </si>
  <si>
    <t>ADQUISICION DE BIENES Y SERVICIOS</t>
  </si>
  <si>
    <t>VIATICOS Y GASTOS DE VIAJE</t>
  </si>
  <si>
    <t xml:space="preserve"> GASTOS DE PUBLICIDAD</t>
  </si>
  <si>
    <t>GASTOS DE PERSONAL</t>
  </si>
  <si>
    <t>OBSERVACIONES</t>
  </si>
  <si>
    <t xml:space="preserve">Enero </t>
  </si>
  <si>
    <t xml:space="preserve">TOTAL </t>
  </si>
  <si>
    <t>COMPROMISOS  / CUMPLIMIENTO LEY 617/2000</t>
  </si>
  <si>
    <t>Provisión para ajuste por incremento salarial. Distribución previo concepto D.G.P.N.</t>
  </si>
  <si>
    <t>16</t>
  </si>
  <si>
    <t>30</t>
  </si>
  <si>
    <t>Sección Principal: 22    Ministerio de Educación Nacional</t>
  </si>
  <si>
    <t>Sección: 2203-00 ICETEX</t>
  </si>
  <si>
    <t xml:space="preserve"> 2203 Icetex</t>
  </si>
  <si>
    <t>CANCELACIONES</t>
  </si>
  <si>
    <t>2002</t>
  </si>
  <si>
    <t>=LC(7)-LC(1)-LC(2)</t>
  </si>
  <si>
    <t>31</t>
  </si>
  <si>
    <t>Implantacion Credito Educativo Pregrado y Postgrado Pais para reservistas de Honor</t>
  </si>
  <si>
    <t>Implantacion del Programa Integral de Financiación de la Matricula, fortalecimiento de la Calidad y Acceso a la Educación Superior</t>
  </si>
  <si>
    <t>2003</t>
  </si>
  <si>
    <t>0</t>
  </si>
  <si>
    <t>Asistencia a Comunidades Negoras Credito Condonable Estudios de Pregrado y Postgrado en el Pais</t>
  </si>
  <si>
    <t>AÑO:2003</t>
  </si>
  <si>
    <t>RESERVAS PRESUPUESTALES Y CUENTAS POR PAGAR 2002</t>
  </si>
  <si>
    <t>VIGENCIA  2003</t>
  </si>
  <si>
    <t>13</t>
  </si>
  <si>
    <t>Impuestos Tasas y multas</t>
  </si>
  <si>
    <t>Trasferencias Corrientes</t>
  </si>
  <si>
    <t>002</t>
  </si>
  <si>
    <t>715</t>
  </si>
  <si>
    <t xml:space="preserve">   A. INGRESOS CORRIENTES</t>
  </si>
  <si>
    <t xml:space="preserve">         OTROS INGRESOS</t>
  </si>
  <si>
    <t xml:space="preserve">      RENDIMIENTOS  INVERSIONES FINANCIERAS</t>
  </si>
  <si>
    <t>Implantación del Programa Integral de financiación de la matricula, fortalecimiento de la calidad y acceso a la Educación Superior.</t>
  </si>
  <si>
    <t>Sueldo Personal de Nomina</t>
  </si>
  <si>
    <t>=</t>
  </si>
  <si>
    <t>3-4</t>
  </si>
  <si>
    <t>Implantación de Credito Educativo para Estudios de Pregrado en el Pais y en el Exterior</t>
  </si>
  <si>
    <t>ºº</t>
  </si>
  <si>
    <t>º</t>
  </si>
  <si>
    <t>14</t>
  </si>
  <si>
    <t>RECURSOS DE LA NACION VIGENCIA</t>
  </si>
  <si>
    <t>RECURSOS DE LA NACION REZAGO</t>
  </si>
  <si>
    <t>TOTAL GASTOS FUNCIONAMIENTO</t>
  </si>
  <si>
    <t>Indemnizaciones</t>
  </si>
  <si>
    <r>
      <t>(4=</t>
    </r>
    <r>
      <rPr>
        <sz val="11"/>
        <color indexed="8"/>
        <rFont val="Symbol"/>
        <family val="1"/>
      </rPr>
      <t>S</t>
    </r>
    <r>
      <rPr>
        <sz val="11"/>
        <color indexed="8"/>
        <rFont val="Arial"/>
        <family val="2"/>
      </rPr>
      <t>2+3)</t>
    </r>
  </si>
  <si>
    <t>15-14</t>
  </si>
  <si>
    <t>MES: Diciembre  DE 2003</t>
  </si>
  <si>
    <t>ICETEX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</si>
</sst>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;;"/>
    <numFmt numFmtId="187" formatCode="dd\-mmm\-yy_)"/>
    <numFmt numFmtId="188" formatCode="dd\-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Courier"/>
      <family val="3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8"/>
      <name val="Symbol"/>
      <family val="1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Symbol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186" fontId="4" fillId="0" borderId="0">
      <alignment/>
      <protection locked="0"/>
    </xf>
    <xf numFmtId="186" fontId="4" fillId="0" borderId="0">
      <alignment/>
      <protection locked="0"/>
    </xf>
    <xf numFmtId="186" fontId="5" fillId="0" borderId="0">
      <alignment/>
      <protection locked="0"/>
    </xf>
    <xf numFmtId="186" fontId="4" fillId="0" borderId="0">
      <alignment/>
      <protection locked="0"/>
    </xf>
    <xf numFmtId="186" fontId="4" fillId="0" borderId="0">
      <alignment/>
      <protection locked="0"/>
    </xf>
    <xf numFmtId="186" fontId="4" fillId="0" borderId="0">
      <alignment/>
      <protection locked="0"/>
    </xf>
    <xf numFmtId="186" fontId="5" fillId="0" borderId="0">
      <alignment/>
      <protection locked="0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682">
    <xf numFmtId="0" fontId="0" fillId="0" borderId="0" xfId="0" applyAlignment="1">
      <alignment/>
    </xf>
    <xf numFmtId="37" fontId="7" fillId="33" borderId="10" xfId="62" applyFont="1" applyFill="1" applyBorder="1" applyAlignment="1" applyProtection="1">
      <alignment horizontal="center" vertical="center"/>
      <protection locked="0"/>
    </xf>
    <xf numFmtId="37" fontId="7" fillId="33" borderId="11" xfId="62" applyFont="1" applyFill="1" applyBorder="1" applyAlignment="1" applyProtection="1">
      <alignment horizontal="center" vertical="center"/>
      <protection locked="0"/>
    </xf>
    <xf numFmtId="37" fontId="0" fillId="0" borderId="0" xfId="61" applyFont="1" applyFill="1" applyBorder="1" applyAlignment="1">
      <alignment vertical="center"/>
      <protection/>
    </xf>
    <xf numFmtId="37" fontId="9" fillId="0" borderId="12" xfId="61" applyFont="1" applyFill="1" applyBorder="1" applyAlignment="1" applyProtection="1">
      <alignment horizontal="centerContinuous" vertical="center"/>
      <protection/>
    </xf>
    <xf numFmtId="37" fontId="1" fillId="0" borderId="13" xfId="61" applyFont="1" applyFill="1" applyBorder="1" applyAlignment="1">
      <alignment horizontal="centerContinuous" vertical="center"/>
      <protection/>
    </xf>
    <xf numFmtId="37" fontId="1" fillId="0" borderId="14" xfId="61" applyFont="1" applyFill="1" applyBorder="1" applyAlignment="1">
      <alignment horizontal="centerContinuous" vertical="center"/>
      <protection/>
    </xf>
    <xf numFmtId="37" fontId="7" fillId="0" borderId="12" xfId="61" applyFont="1" applyFill="1" applyBorder="1" applyAlignment="1" applyProtection="1">
      <alignment vertical="center"/>
      <protection/>
    </xf>
    <xf numFmtId="37" fontId="1" fillId="0" borderId="13" xfId="61" applyFont="1" applyFill="1" applyBorder="1" applyAlignment="1" applyProtection="1">
      <alignment horizontal="left" vertical="center"/>
      <protection/>
    </xf>
    <xf numFmtId="37" fontId="7" fillId="0" borderId="13" xfId="61" applyFont="1" applyFill="1" applyBorder="1" applyAlignment="1" applyProtection="1">
      <alignment vertical="center"/>
      <protection/>
    </xf>
    <xf numFmtId="37" fontId="7" fillId="0" borderId="0" xfId="61" applyFont="1" applyFill="1" applyBorder="1" applyAlignment="1">
      <alignment vertical="center"/>
      <protection/>
    </xf>
    <xf numFmtId="37" fontId="7" fillId="0" borderId="15" xfId="61" applyFont="1" applyFill="1" applyBorder="1" applyAlignment="1" applyProtection="1">
      <alignment horizontal="center" vertical="center"/>
      <protection/>
    </xf>
    <xf numFmtId="37" fontId="7" fillId="0" borderId="16" xfId="61" applyFont="1" applyFill="1" applyBorder="1" applyAlignment="1" applyProtection="1">
      <alignment vertical="center"/>
      <protection/>
    </xf>
    <xf numFmtId="37" fontId="7" fillId="0" borderId="17" xfId="61" applyFont="1" applyFill="1" applyBorder="1" applyAlignment="1" applyProtection="1">
      <alignment vertical="center"/>
      <protection/>
    </xf>
    <xf numFmtId="37" fontId="7" fillId="0" borderId="16" xfId="61" applyFont="1" applyFill="1" applyBorder="1" applyAlignment="1" applyProtection="1">
      <alignment vertical="center"/>
      <protection locked="0"/>
    </xf>
    <xf numFmtId="37" fontId="10" fillId="0" borderId="16" xfId="61" applyFont="1" applyFill="1" applyBorder="1" applyAlignment="1" applyProtection="1">
      <alignment vertical="center"/>
      <protection locked="0"/>
    </xf>
    <xf numFmtId="37" fontId="7" fillId="0" borderId="18" xfId="61" applyFont="1" applyFill="1" applyBorder="1" applyAlignment="1" applyProtection="1">
      <alignment vertical="center"/>
      <protection/>
    </xf>
    <xf numFmtId="37" fontId="7" fillId="0" borderId="19" xfId="61" applyFont="1" applyFill="1" applyBorder="1" applyAlignment="1" applyProtection="1">
      <alignment vertical="center"/>
      <protection/>
    </xf>
    <xf numFmtId="37" fontId="7" fillId="0" borderId="14" xfId="61" applyFont="1" applyFill="1" applyBorder="1" applyAlignment="1" applyProtection="1">
      <alignment horizontal="right" vertical="center"/>
      <protection/>
    </xf>
    <xf numFmtId="37" fontId="9" fillId="0" borderId="18" xfId="61" applyFont="1" applyFill="1" applyBorder="1" applyAlignment="1" applyProtection="1">
      <alignment vertical="center"/>
      <protection/>
    </xf>
    <xf numFmtId="37" fontId="9" fillId="0" borderId="19" xfId="61" applyFont="1" applyFill="1" applyBorder="1" applyAlignment="1" applyProtection="1">
      <alignment vertical="center"/>
      <protection/>
    </xf>
    <xf numFmtId="37" fontId="7" fillId="0" borderId="20" xfId="61" applyFont="1" applyFill="1" applyBorder="1" applyAlignment="1" applyProtection="1">
      <alignment horizontal="center" vertical="center"/>
      <protection/>
    </xf>
    <xf numFmtId="37" fontId="10" fillId="0" borderId="18" xfId="61" applyFont="1" applyFill="1" applyBorder="1" applyAlignment="1" applyProtection="1">
      <alignment vertical="center"/>
      <protection locked="0"/>
    </xf>
    <xf numFmtId="37" fontId="9" fillId="0" borderId="16" xfId="61" applyFont="1" applyFill="1" applyBorder="1" applyAlignment="1" applyProtection="1">
      <alignment vertical="center"/>
      <protection/>
    </xf>
    <xf numFmtId="37" fontId="9" fillId="34" borderId="21" xfId="61" applyFont="1" applyFill="1" applyBorder="1" applyAlignment="1" applyProtection="1">
      <alignment vertical="center"/>
      <protection/>
    </xf>
    <xf numFmtId="37" fontId="9" fillId="35" borderId="22" xfId="61" applyFont="1" applyFill="1" applyBorder="1" applyAlignment="1" applyProtection="1">
      <alignment vertical="center"/>
      <protection/>
    </xf>
    <xf numFmtId="37" fontId="9" fillId="35" borderId="23" xfId="61" applyFont="1" applyFill="1" applyBorder="1" applyAlignment="1" applyProtection="1">
      <alignment vertical="center"/>
      <protection/>
    </xf>
    <xf numFmtId="37" fontId="9" fillId="0" borderId="24" xfId="61" applyFont="1" applyFill="1" applyBorder="1" applyAlignment="1" applyProtection="1">
      <alignment horizontal="centerContinuous" vertical="center"/>
      <protection/>
    </xf>
    <xf numFmtId="37" fontId="1" fillId="0" borderId="25" xfId="61" applyFont="1" applyFill="1" applyBorder="1" applyAlignment="1">
      <alignment horizontal="centerContinuous" vertical="center"/>
      <protection/>
    </xf>
    <xf numFmtId="37" fontId="1" fillId="0" borderId="26" xfId="61" applyFont="1" applyFill="1" applyBorder="1" applyAlignment="1">
      <alignment horizontal="centerContinuous" vertical="center"/>
      <protection/>
    </xf>
    <xf numFmtId="37" fontId="7" fillId="0" borderId="24" xfId="61" applyFont="1" applyFill="1" applyBorder="1" applyAlignment="1" applyProtection="1">
      <alignment vertical="center"/>
      <protection/>
    </xf>
    <xf numFmtId="37" fontId="0" fillId="0" borderId="25" xfId="61" applyFont="1" applyFill="1" applyBorder="1" applyAlignment="1" applyProtection="1">
      <alignment horizontal="left" vertical="center"/>
      <protection/>
    </xf>
    <xf numFmtId="37" fontId="7" fillId="0" borderId="25" xfId="61" applyFont="1" applyFill="1" applyBorder="1" applyAlignment="1" applyProtection="1">
      <alignment vertical="center"/>
      <protection/>
    </xf>
    <xf numFmtId="37" fontId="7" fillId="0" borderId="26" xfId="61" applyFont="1" applyFill="1" applyBorder="1" applyAlignment="1" applyProtection="1">
      <alignment horizontal="right" vertical="center"/>
      <protection/>
    </xf>
    <xf numFmtId="37" fontId="9" fillId="34" borderId="27" xfId="61" applyFont="1" applyFill="1" applyBorder="1" applyAlignment="1" applyProtection="1">
      <alignment horizontal="center" vertical="center"/>
      <protection/>
    </xf>
    <xf numFmtId="37" fontId="9" fillId="34" borderId="28" xfId="61" applyFont="1" applyFill="1" applyBorder="1" applyAlignment="1" applyProtection="1">
      <alignment vertical="center"/>
      <protection/>
    </xf>
    <xf numFmtId="37" fontId="7" fillId="0" borderId="0" xfId="60" applyFont="1" applyFill="1" applyBorder="1" applyAlignment="1" applyProtection="1">
      <alignment vertical="center"/>
      <protection/>
    </xf>
    <xf numFmtId="49" fontId="9" fillId="0" borderId="0" xfId="60" applyNumberFormat="1" applyFont="1" applyFill="1" applyBorder="1" applyAlignment="1" applyProtection="1">
      <alignment horizontal="center" vertical="center"/>
      <protection/>
    </xf>
    <xf numFmtId="49" fontId="7" fillId="0" borderId="0" xfId="60" applyNumberFormat="1" applyFont="1" applyFill="1" applyBorder="1" applyAlignment="1" applyProtection="1">
      <alignment horizontal="center" vertical="center"/>
      <protection/>
    </xf>
    <xf numFmtId="37" fontId="7" fillId="0" borderId="0" xfId="60" applyFont="1" applyFill="1" applyBorder="1" applyAlignment="1" applyProtection="1">
      <alignment vertical="center" wrapText="1"/>
      <protection/>
    </xf>
    <xf numFmtId="37" fontId="7" fillId="0" borderId="0" xfId="60" applyFont="1" applyFill="1" applyBorder="1" applyAlignment="1" applyProtection="1">
      <alignment vertical="center"/>
      <protection locked="0"/>
    </xf>
    <xf numFmtId="37" fontId="7" fillId="34" borderId="29" xfId="61" applyFont="1" applyFill="1" applyBorder="1" applyAlignment="1" applyProtection="1">
      <alignment horizontal="center" vertical="center"/>
      <protection/>
    </xf>
    <xf numFmtId="37" fontId="7" fillId="34" borderId="30" xfId="61" applyFont="1" applyFill="1" applyBorder="1" applyAlignment="1" applyProtection="1">
      <alignment vertical="center"/>
      <protection/>
    </xf>
    <xf numFmtId="37" fontId="7" fillId="34" borderId="31" xfId="61" applyFont="1" applyFill="1" applyBorder="1" applyAlignment="1" applyProtection="1">
      <alignment vertical="center"/>
      <protection/>
    </xf>
    <xf numFmtId="37" fontId="11" fillId="36" borderId="32" xfId="61" applyFont="1" applyFill="1" applyBorder="1" applyAlignment="1">
      <alignment horizontal="center" vertical="center"/>
      <protection/>
    </xf>
    <xf numFmtId="37" fontId="11" fillId="36" borderId="33" xfId="61" applyFont="1" applyFill="1" applyBorder="1" applyAlignment="1">
      <alignment horizontal="center" vertical="center"/>
      <protection/>
    </xf>
    <xf numFmtId="37" fontId="11" fillId="36" borderId="33" xfId="61" applyFont="1" applyFill="1" applyBorder="1" applyAlignment="1" applyProtection="1">
      <alignment horizontal="center" vertical="center"/>
      <protection/>
    </xf>
    <xf numFmtId="37" fontId="11" fillId="36" borderId="34" xfId="61" applyFont="1" applyFill="1" applyBorder="1" applyAlignment="1" applyProtection="1">
      <alignment horizontal="center" vertical="center"/>
      <protection/>
    </xf>
    <xf numFmtId="37" fontId="11" fillId="36" borderId="15" xfId="61" applyFont="1" applyFill="1" applyBorder="1" applyAlignment="1" applyProtection="1">
      <alignment horizontal="center" vertical="center"/>
      <protection/>
    </xf>
    <xf numFmtId="37" fontId="11" fillId="36" borderId="16" xfId="61" applyFont="1" applyFill="1" applyBorder="1" applyAlignment="1" applyProtection="1">
      <alignment horizontal="center" vertical="center"/>
      <protection/>
    </xf>
    <xf numFmtId="37" fontId="11" fillId="36" borderId="17" xfId="61" applyFont="1" applyFill="1" applyBorder="1" applyAlignment="1">
      <alignment horizontal="center" vertical="center"/>
      <protection/>
    </xf>
    <xf numFmtId="37" fontId="11" fillId="36" borderId="20" xfId="61" applyFont="1" applyFill="1" applyBorder="1" applyAlignment="1">
      <alignment horizontal="center" vertical="center"/>
      <protection/>
    </xf>
    <xf numFmtId="37" fontId="11" fillId="36" borderId="18" xfId="61" applyFont="1" applyFill="1" applyBorder="1" applyAlignment="1">
      <alignment horizontal="center" vertical="center"/>
      <protection/>
    </xf>
    <xf numFmtId="49" fontId="11" fillId="36" borderId="18" xfId="61" applyNumberFormat="1" applyFont="1" applyFill="1" applyBorder="1" applyAlignment="1" applyProtection="1">
      <alignment horizontal="center" vertical="center"/>
      <protection/>
    </xf>
    <xf numFmtId="49" fontId="11" fillId="36" borderId="19" xfId="61" applyNumberFormat="1" applyFont="1" applyFill="1" applyBorder="1" applyAlignment="1" applyProtection="1">
      <alignment horizontal="center" vertical="center"/>
      <protection/>
    </xf>
    <xf numFmtId="37" fontId="9" fillId="35" borderId="35" xfId="61" applyFont="1" applyFill="1" applyBorder="1" applyAlignment="1" applyProtection="1">
      <alignment horizontal="center" vertical="center"/>
      <protection/>
    </xf>
    <xf numFmtId="37" fontId="9" fillId="35" borderId="36" xfId="61" applyFont="1" applyFill="1" applyBorder="1" applyAlignment="1" applyProtection="1">
      <alignment vertical="center"/>
      <protection/>
    </xf>
    <xf numFmtId="37" fontId="9" fillId="35" borderId="37" xfId="61" applyFont="1" applyFill="1" applyBorder="1" applyAlignment="1" applyProtection="1">
      <alignment vertical="center"/>
      <protection/>
    </xf>
    <xf numFmtId="37" fontId="7" fillId="33" borderId="24" xfId="61" applyFont="1" applyFill="1" applyBorder="1" applyAlignment="1" applyProtection="1">
      <alignment vertical="center"/>
      <protection/>
    </xf>
    <xf numFmtId="37" fontId="0" fillId="33" borderId="25" xfId="61" applyFont="1" applyFill="1" applyBorder="1" applyAlignment="1" applyProtection="1">
      <alignment horizontal="left" vertical="center"/>
      <protection/>
    </xf>
    <xf numFmtId="37" fontId="7" fillId="33" borderId="25" xfId="61" applyFont="1" applyFill="1" applyBorder="1" applyAlignment="1" applyProtection="1">
      <alignment vertical="center"/>
      <protection/>
    </xf>
    <xf numFmtId="37" fontId="7" fillId="33" borderId="12" xfId="61" applyFont="1" applyFill="1" applyBorder="1" applyAlignment="1" applyProtection="1">
      <alignment vertical="center"/>
      <protection/>
    </xf>
    <xf numFmtId="37" fontId="1" fillId="33" borderId="13" xfId="61" applyFont="1" applyFill="1" applyBorder="1" applyAlignment="1" applyProtection="1">
      <alignment horizontal="left" vertical="center"/>
      <protection/>
    </xf>
    <xf numFmtId="37" fontId="7" fillId="33" borderId="13" xfId="61" applyFont="1" applyFill="1" applyBorder="1" applyAlignment="1" applyProtection="1">
      <alignment vertical="center"/>
      <protection/>
    </xf>
    <xf numFmtId="37" fontId="11" fillId="36" borderId="22" xfId="61" applyFont="1" applyFill="1" applyBorder="1" applyAlignment="1" applyProtection="1">
      <alignment horizontal="centerContinuous" vertical="center"/>
      <protection/>
    </xf>
    <xf numFmtId="37" fontId="11" fillId="36" borderId="34" xfId="61" applyFont="1" applyFill="1" applyBorder="1" applyAlignment="1">
      <alignment horizontal="center" vertical="center"/>
      <protection/>
    </xf>
    <xf numFmtId="37" fontId="8" fillId="36" borderId="17" xfId="61" applyFont="1" applyFill="1" applyBorder="1" applyAlignment="1" applyProtection="1">
      <alignment horizontal="center" vertical="center" wrapText="1"/>
      <protection/>
    </xf>
    <xf numFmtId="37" fontId="11" fillId="36" borderId="19" xfId="61" applyFont="1" applyFill="1" applyBorder="1" applyAlignment="1">
      <alignment horizontal="center" vertical="center"/>
      <protection/>
    </xf>
    <xf numFmtId="37" fontId="11" fillId="36" borderId="32" xfId="61" applyFont="1" applyFill="1" applyBorder="1" applyAlignment="1" applyProtection="1">
      <alignment horizontal="center" vertical="center"/>
      <protection/>
    </xf>
    <xf numFmtId="37" fontId="11" fillId="36" borderId="17" xfId="61" applyFont="1" applyFill="1" applyBorder="1" applyAlignment="1" applyProtection="1">
      <alignment horizontal="center" vertical="center"/>
      <protection/>
    </xf>
    <xf numFmtId="49" fontId="11" fillId="36" borderId="20" xfId="61" applyNumberFormat="1" applyFont="1" applyFill="1" applyBorder="1" applyAlignment="1" applyProtection="1">
      <alignment horizontal="center" vertical="center"/>
      <protection/>
    </xf>
    <xf numFmtId="37" fontId="9" fillId="35" borderId="35" xfId="61" applyFont="1" applyFill="1" applyBorder="1" applyAlignment="1" applyProtection="1">
      <alignment vertical="center"/>
      <protection/>
    </xf>
    <xf numFmtId="37" fontId="7" fillId="34" borderId="29" xfId="61" applyFont="1" applyFill="1" applyBorder="1" applyAlignment="1" applyProtection="1">
      <alignment vertical="center"/>
      <protection/>
    </xf>
    <xf numFmtId="37" fontId="9" fillId="34" borderId="31" xfId="61" applyFont="1" applyFill="1" applyBorder="1" applyAlignment="1" applyProtection="1">
      <alignment vertical="center"/>
      <protection/>
    </xf>
    <xf numFmtId="37" fontId="7" fillId="0" borderId="15" xfId="61" applyFont="1" applyFill="1" applyBorder="1" applyAlignment="1" applyProtection="1">
      <alignment vertical="center"/>
      <protection/>
    </xf>
    <xf numFmtId="37" fontId="9" fillId="0" borderId="17" xfId="61" applyFont="1" applyFill="1" applyBorder="1" applyAlignment="1" applyProtection="1">
      <alignment vertical="center"/>
      <protection/>
    </xf>
    <xf numFmtId="37" fontId="7" fillId="0" borderId="15" xfId="61" applyFont="1" applyFill="1" applyBorder="1" applyAlignment="1" applyProtection="1">
      <alignment vertical="center"/>
      <protection locked="0"/>
    </xf>
    <xf numFmtId="37" fontId="9" fillId="34" borderId="27" xfId="61" applyFont="1" applyFill="1" applyBorder="1" applyAlignment="1" applyProtection="1">
      <alignment vertical="center"/>
      <protection/>
    </xf>
    <xf numFmtId="37" fontId="7" fillId="0" borderId="20" xfId="61" applyFont="1" applyFill="1" applyBorder="1" applyAlignment="1" applyProtection="1">
      <alignment vertical="center"/>
      <protection locked="0"/>
    </xf>
    <xf numFmtId="37" fontId="10" fillId="0" borderId="15" xfId="61" applyFont="1" applyFill="1" applyBorder="1" applyAlignment="1" applyProtection="1">
      <alignment vertical="center"/>
      <protection locked="0"/>
    </xf>
    <xf numFmtId="37" fontId="10" fillId="0" borderId="20" xfId="61" applyFont="1" applyFill="1" applyBorder="1" applyAlignment="1" applyProtection="1">
      <alignment vertical="center"/>
      <protection locked="0"/>
    </xf>
    <xf numFmtId="37" fontId="9" fillId="35" borderId="38" xfId="61" applyFont="1" applyFill="1" applyBorder="1" applyAlignment="1" applyProtection="1">
      <alignment vertical="center"/>
      <protection/>
    </xf>
    <xf numFmtId="37" fontId="9" fillId="0" borderId="17" xfId="61" applyFont="1" applyFill="1" applyBorder="1" applyAlignment="1" applyProtection="1">
      <alignment vertical="center"/>
      <protection locked="0"/>
    </xf>
    <xf numFmtId="37" fontId="9" fillId="34" borderId="28" xfId="61" applyFont="1" applyFill="1" applyBorder="1" applyAlignment="1" applyProtection="1">
      <alignment vertical="center"/>
      <protection locked="0"/>
    </xf>
    <xf numFmtId="37" fontId="9" fillId="0" borderId="19" xfId="61" applyFont="1" applyFill="1" applyBorder="1" applyAlignment="1" applyProtection="1">
      <alignment vertical="center"/>
      <protection locked="0"/>
    </xf>
    <xf numFmtId="37" fontId="9" fillId="35" borderId="37" xfId="61" applyFont="1" applyFill="1" applyBorder="1" applyAlignment="1" applyProtection="1">
      <alignment vertical="center"/>
      <protection locked="0"/>
    </xf>
    <xf numFmtId="37" fontId="7" fillId="33" borderId="26" xfId="61" applyFont="1" applyFill="1" applyBorder="1" applyAlignment="1" applyProtection="1">
      <alignment horizontal="right" vertical="center"/>
      <protection/>
    </xf>
    <xf numFmtId="37" fontId="7" fillId="33" borderId="14" xfId="61" applyFont="1" applyFill="1" applyBorder="1" applyAlignment="1" applyProtection="1">
      <alignment horizontal="right" vertical="center"/>
      <protection/>
    </xf>
    <xf numFmtId="37" fontId="9" fillId="0" borderId="32" xfId="61" applyFont="1" applyFill="1" applyBorder="1" applyAlignment="1">
      <alignment horizontal="center" vertical="center"/>
      <protection/>
    </xf>
    <xf numFmtId="37" fontId="9" fillId="0" borderId="39" xfId="61" applyFont="1" applyFill="1" applyBorder="1" applyAlignment="1">
      <alignment horizontal="center" vertical="center"/>
      <protection/>
    </xf>
    <xf numFmtId="49" fontId="9" fillId="0" borderId="20" xfId="61" applyNumberFormat="1" applyFont="1" applyFill="1" applyBorder="1" applyAlignment="1">
      <alignment horizontal="center" vertical="center"/>
      <protection/>
    </xf>
    <xf numFmtId="49" fontId="9" fillId="0" borderId="24" xfId="60" applyNumberFormat="1" applyFont="1" applyFill="1" applyBorder="1" applyAlignment="1" applyProtection="1">
      <alignment horizontal="centerContinuous" vertical="center"/>
      <protection/>
    </xf>
    <xf numFmtId="37" fontId="7" fillId="0" borderId="26" xfId="60" applyFont="1" applyFill="1" applyBorder="1" applyAlignment="1" applyProtection="1">
      <alignment horizontal="centerContinuous" vertical="center" wrapText="1"/>
      <protection/>
    </xf>
    <xf numFmtId="49" fontId="9" fillId="0" borderId="12" xfId="60" applyNumberFormat="1" applyFont="1" applyFill="1" applyBorder="1" applyAlignment="1" applyProtection="1">
      <alignment horizontal="centerContinuous" vertical="center"/>
      <protection/>
    </xf>
    <xf numFmtId="37" fontId="7" fillId="0" borderId="14" xfId="60" applyFont="1" applyFill="1" applyBorder="1" applyAlignment="1" applyProtection="1">
      <alignment horizontal="centerContinuous" vertical="center" wrapText="1"/>
      <protection/>
    </xf>
    <xf numFmtId="37" fontId="7" fillId="0" borderId="26" xfId="60" applyFont="1" applyFill="1" applyBorder="1" applyAlignment="1" applyProtection="1">
      <alignment horizontal="right" vertical="center"/>
      <protection/>
    </xf>
    <xf numFmtId="37" fontId="7" fillId="0" borderId="14" xfId="60" applyFont="1" applyFill="1" applyBorder="1" applyAlignment="1" applyProtection="1">
      <alignment horizontal="right" vertical="center"/>
      <protection/>
    </xf>
    <xf numFmtId="37" fontId="0" fillId="0" borderId="0" xfId="60" applyFont="1" applyFill="1" applyBorder="1" applyAlignment="1" applyProtection="1">
      <alignment vertical="center"/>
      <protection/>
    </xf>
    <xf numFmtId="37" fontId="1" fillId="0" borderId="0" xfId="60" applyFont="1" applyFill="1" applyBorder="1" applyAlignment="1" applyProtection="1">
      <alignment horizontal="centerContinuous" vertical="center"/>
      <protection/>
    </xf>
    <xf numFmtId="49" fontId="1" fillId="0" borderId="0" xfId="60" applyNumberFormat="1" applyFont="1" applyFill="1" applyBorder="1" applyAlignment="1" applyProtection="1">
      <alignment horizontal="centerContinuous" vertical="center"/>
      <protection/>
    </xf>
    <xf numFmtId="49" fontId="0" fillId="0" borderId="0" xfId="60" applyNumberFormat="1" applyFont="1" applyFill="1" applyBorder="1" applyAlignment="1" applyProtection="1">
      <alignment horizontal="center" vertical="center"/>
      <protection/>
    </xf>
    <xf numFmtId="37" fontId="1" fillId="0" borderId="0" xfId="60" applyFont="1" applyFill="1" applyBorder="1" applyAlignment="1" applyProtection="1">
      <alignment vertical="center"/>
      <protection/>
    </xf>
    <xf numFmtId="37" fontId="0" fillId="0" borderId="0" xfId="60" applyFont="1" applyFill="1" applyBorder="1" applyAlignment="1" applyProtection="1">
      <alignment vertical="center" wrapText="1"/>
      <protection/>
    </xf>
    <xf numFmtId="37" fontId="0" fillId="0" borderId="0" xfId="60" applyFont="1" applyFill="1" applyBorder="1" applyAlignment="1" applyProtection="1">
      <alignment vertical="center"/>
      <protection locked="0"/>
    </xf>
    <xf numFmtId="37" fontId="1" fillId="0" borderId="0" xfId="60" applyFont="1" applyFill="1" applyBorder="1" applyAlignment="1" applyProtection="1">
      <alignment horizontal="centerContinuous" vertical="center" wrapText="1"/>
      <protection/>
    </xf>
    <xf numFmtId="37" fontId="1" fillId="0" borderId="0" xfId="60" applyFont="1" applyFill="1" applyBorder="1" applyAlignment="1" applyProtection="1">
      <alignment horizontal="centerContinuous" vertical="center"/>
      <protection locked="0"/>
    </xf>
    <xf numFmtId="49" fontId="1" fillId="0" borderId="25" xfId="60" applyNumberFormat="1" applyFont="1" applyFill="1" applyBorder="1" applyAlignment="1" applyProtection="1">
      <alignment horizontal="centerContinuous" vertical="center"/>
      <protection/>
    </xf>
    <xf numFmtId="49" fontId="1" fillId="0" borderId="13" xfId="60" applyNumberFormat="1" applyFont="1" applyFill="1" applyBorder="1" applyAlignment="1" applyProtection="1">
      <alignment horizontal="centerContinuous" vertical="center"/>
      <protection/>
    </xf>
    <xf numFmtId="37" fontId="0" fillId="0" borderId="24" xfId="60" applyFont="1" applyFill="1" applyBorder="1" applyAlignment="1" applyProtection="1">
      <alignment horizontal="left" vertical="center"/>
      <protection/>
    </xf>
    <xf numFmtId="37" fontId="0" fillId="0" borderId="25" xfId="6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5" xfId="0" applyFill="1" applyBorder="1" applyAlignment="1">
      <alignment/>
    </xf>
    <xf numFmtId="37" fontId="0" fillId="0" borderId="12" xfId="60" applyFont="1" applyFill="1" applyBorder="1" applyAlignment="1" applyProtection="1">
      <alignment horizontal="left" vertical="center"/>
      <protection/>
    </xf>
    <xf numFmtId="37" fontId="0" fillId="0" borderId="13" xfId="6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37" fontId="0" fillId="0" borderId="13" xfId="60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/>
    </xf>
    <xf numFmtId="37" fontId="9" fillId="0" borderId="32" xfId="60" applyFont="1" applyFill="1" applyBorder="1" applyAlignment="1" applyProtection="1">
      <alignment horizontal="center" vertical="center"/>
      <protection/>
    </xf>
    <xf numFmtId="37" fontId="9" fillId="0" borderId="39" xfId="60" applyFont="1" applyFill="1" applyBorder="1" applyAlignment="1" applyProtection="1">
      <alignment horizontal="center" vertical="center"/>
      <protection/>
    </xf>
    <xf numFmtId="37" fontId="9" fillId="0" borderId="39" xfId="60" applyFont="1" applyFill="1" applyBorder="1" applyAlignment="1" applyProtection="1">
      <alignment horizontal="center" vertical="center"/>
      <protection locked="0"/>
    </xf>
    <xf numFmtId="49" fontId="1" fillId="0" borderId="20" xfId="60" applyNumberFormat="1" applyFont="1" applyFill="1" applyBorder="1" applyAlignment="1" applyProtection="1">
      <alignment horizontal="center" vertical="center"/>
      <protection/>
    </xf>
    <xf numFmtId="49" fontId="1" fillId="0" borderId="40" xfId="60" applyNumberFormat="1" applyFont="1" applyFill="1" applyBorder="1" applyAlignment="1" applyProtection="1">
      <alignment horizontal="center" vertical="center"/>
      <protection/>
    </xf>
    <xf numFmtId="49" fontId="1" fillId="0" borderId="40" xfId="60" applyNumberFormat="1" applyFont="1" applyFill="1" applyBorder="1" applyAlignment="1" applyProtection="1">
      <alignment horizontal="center" vertical="center"/>
      <protection locked="0"/>
    </xf>
    <xf numFmtId="49" fontId="9" fillId="37" borderId="41" xfId="60" applyNumberFormat="1" applyFont="1" applyFill="1" applyBorder="1" applyAlignment="1" applyProtection="1">
      <alignment horizontal="centerContinuous" vertical="center"/>
      <protection/>
    </xf>
    <xf numFmtId="49" fontId="9" fillId="37" borderId="42" xfId="60" applyNumberFormat="1" applyFont="1" applyFill="1" applyBorder="1" applyAlignment="1" applyProtection="1">
      <alignment horizontal="centerContinuous" vertical="center"/>
      <protection/>
    </xf>
    <xf numFmtId="37" fontId="9" fillId="37" borderId="42" xfId="60" applyFont="1" applyFill="1" applyBorder="1" applyAlignment="1" applyProtection="1">
      <alignment horizontal="centerContinuous" vertical="center" wrapText="1"/>
      <protection/>
    </xf>
    <xf numFmtId="37" fontId="9" fillId="37" borderId="42" xfId="60" applyFont="1" applyFill="1" applyBorder="1" applyAlignment="1" applyProtection="1">
      <alignment horizontal="centerContinuous" vertical="center"/>
      <protection/>
    </xf>
    <xf numFmtId="37" fontId="9" fillId="37" borderId="42" xfId="60" applyFont="1" applyFill="1" applyBorder="1" applyAlignment="1" applyProtection="1">
      <alignment horizontal="centerContinuous" vertical="center"/>
      <protection locked="0"/>
    </xf>
    <xf numFmtId="37" fontId="9" fillId="37" borderId="43" xfId="60" applyFont="1" applyFill="1" applyBorder="1" applyAlignment="1" applyProtection="1">
      <alignment horizontal="centerContinuous" vertical="center"/>
      <protection/>
    </xf>
    <xf numFmtId="49" fontId="7" fillId="0" borderId="16" xfId="60" applyNumberFormat="1" applyFont="1" applyFill="1" applyBorder="1" applyAlignment="1" applyProtection="1">
      <alignment horizontal="center" vertical="center"/>
      <protection/>
    </xf>
    <xf numFmtId="37" fontId="7" fillId="0" borderId="16" xfId="60" applyFont="1" applyFill="1" applyBorder="1" applyAlignment="1" applyProtection="1">
      <alignment vertical="center" wrapText="1"/>
      <protection/>
    </xf>
    <xf numFmtId="37" fontId="7" fillId="0" borderId="16" xfId="60" applyFont="1" applyFill="1" applyBorder="1" applyAlignment="1" applyProtection="1">
      <alignment vertical="center"/>
      <protection/>
    </xf>
    <xf numFmtId="37" fontId="7" fillId="0" borderId="16" xfId="60" applyFont="1" applyFill="1" applyBorder="1" applyAlignment="1" applyProtection="1">
      <alignment vertical="center"/>
      <protection locked="0"/>
    </xf>
    <xf numFmtId="49" fontId="7" fillId="0" borderId="15" xfId="60" applyNumberFormat="1" applyFont="1" applyFill="1" applyBorder="1" applyAlignment="1" applyProtection="1">
      <alignment horizontal="center" vertical="center"/>
      <protection/>
    </xf>
    <xf numFmtId="49" fontId="7" fillId="0" borderId="20" xfId="60" applyNumberFormat="1" applyFont="1" applyFill="1" applyBorder="1" applyAlignment="1" applyProtection="1">
      <alignment horizontal="center" vertical="center"/>
      <protection/>
    </xf>
    <xf numFmtId="49" fontId="7" fillId="0" borderId="18" xfId="60" applyNumberFormat="1" applyFont="1" applyFill="1" applyBorder="1" applyAlignment="1" applyProtection="1">
      <alignment horizontal="center" vertical="center"/>
      <protection/>
    </xf>
    <xf numFmtId="37" fontId="7" fillId="0" borderId="18" xfId="60" applyFont="1" applyFill="1" applyBorder="1" applyAlignment="1" applyProtection="1">
      <alignment vertical="center"/>
      <protection/>
    </xf>
    <xf numFmtId="37" fontId="7" fillId="0" borderId="18" xfId="60" applyFont="1" applyFill="1" applyBorder="1" applyAlignment="1" applyProtection="1">
      <alignment vertical="center"/>
      <protection locked="0"/>
    </xf>
    <xf numFmtId="49" fontId="11" fillId="36" borderId="35" xfId="60" applyNumberFormat="1" applyFont="1" applyFill="1" applyBorder="1" applyAlignment="1" applyProtection="1">
      <alignment horizontal="centerContinuous" vertical="center"/>
      <protection/>
    </xf>
    <xf numFmtId="49" fontId="11" fillId="36" borderId="36" xfId="60" applyNumberFormat="1" applyFont="1" applyFill="1" applyBorder="1" applyAlignment="1" applyProtection="1">
      <alignment horizontal="centerContinuous" vertical="center"/>
      <protection/>
    </xf>
    <xf numFmtId="37" fontId="11" fillId="36" borderId="26" xfId="60" applyFont="1" applyFill="1" applyBorder="1" applyAlignment="1" applyProtection="1">
      <alignment horizontal="center" vertical="center" wrapText="1"/>
      <protection/>
    </xf>
    <xf numFmtId="37" fontId="11" fillId="36" borderId="32" xfId="60" applyFont="1" applyFill="1" applyBorder="1" applyAlignment="1" applyProtection="1">
      <alignment horizontal="center" vertical="center"/>
      <protection/>
    </xf>
    <xf numFmtId="37" fontId="11" fillId="36" borderId="36" xfId="60" applyFont="1" applyFill="1" applyBorder="1" applyAlignment="1" applyProtection="1">
      <alignment horizontal="centerContinuous" vertical="center"/>
      <protection/>
    </xf>
    <xf numFmtId="37" fontId="11" fillId="36" borderId="34" xfId="60" applyFont="1" applyFill="1" applyBorder="1" applyAlignment="1" applyProtection="1">
      <alignment horizontal="center" vertical="center"/>
      <protection/>
    </xf>
    <xf numFmtId="37" fontId="11" fillId="36" borderId="39" xfId="60" applyFont="1" applyFill="1" applyBorder="1" applyAlignment="1" applyProtection="1">
      <alignment horizontal="center" vertical="center"/>
      <protection/>
    </xf>
    <xf numFmtId="37" fontId="11" fillId="36" borderId="39" xfId="60" applyFont="1" applyFill="1" applyBorder="1" applyAlignment="1" applyProtection="1">
      <alignment horizontal="center" vertical="center"/>
      <protection locked="0"/>
    </xf>
    <xf numFmtId="49" fontId="8" fillId="36" borderId="44" xfId="60" applyNumberFormat="1" applyFont="1" applyFill="1" applyBorder="1" applyAlignment="1" applyProtection="1">
      <alignment horizontal="center" vertical="center"/>
      <protection/>
    </xf>
    <xf numFmtId="49" fontId="8" fillId="36" borderId="45" xfId="60" applyNumberFormat="1" applyFont="1" applyFill="1" applyBorder="1" applyAlignment="1" applyProtection="1">
      <alignment horizontal="center" vertical="center"/>
      <protection/>
    </xf>
    <xf numFmtId="49" fontId="8" fillId="36" borderId="45" xfId="60" applyNumberFormat="1" applyFont="1" applyFill="1" applyBorder="1" applyAlignment="1" applyProtection="1" quotePrefix="1">
      <alignment horizontal="center" vertical="center"/>
      <protection/>
    </xf>
    <xf numFmtId="37" fontId="11" fillId="36" borderId="46" xfId="60" applyFont="1" applyFill="1" applyBorder="1" applyAlignment="1" applyProtection="1">
      <alignment horizontal="center" vertical="center" wrapText="1"/>
      <protection/>
    </xf>
    <xf numFmtId="37" fontId="11" fillId="36" borderId="15" xfId="60" applyFont="1" applyFill="1" applyBorder="1" applyAlignment="1" applyProtection="1">
      <alignment horizontal="center" vertical="center"/>
      <protection/>
    </xf>
    <xf numFmtId="37" fontId="11" fillId="36" borderId="16" xfId="60" applyFont="1" applyFill="1" applyBorder="1" applyAlignment="1" applyProtection="1">
      <alignment horizontal="center" vertical="center"/>
      <protection/>
    </xf>
    <xf numFmtId="37" fontId="11" fillId="36" borderId="17" xfId="60" applyFont="1" applyFill="1" applyBorder="1" applyAlignment="1" applyProtection="1">
      <alignment horizontal="center" vertical="center"/>
      <protection/>
    </xf>
    <xf numFmtId="37" fontId="11" fillId="36" borderId="47" xfId="60" applyFont="1" applyFill="1" applyBorder="1" applyAlignment="1" applyProtection="1">
      <alignment horizontal="center" vertical="center"/>
      <protection/>
    </xf>
    <xf numFmtId="37" fontId="11" fillId="36" borderId="47" xfId="60" applyFont="1" applyFill="1" applyBorder="1" applyAlignment="1" applyProtection="1">
      <alignment horizontal="center" vertical="center"/>
      <protection locked="0"/>
    </xf>
    <xf numFmtId="49" fontId="8" fillId="36" borderId="20" xfId="60" applyNumberFormat="1" applyFont="1" applyFill="1" applyBorder="1" applyAlignment="1" applyProtection="1">
      <alignment horizontal="center" vertical="center"/>
      <protection/>
    </xf>
    <xf numFmtId="49" fontId="8" fillId="36" borderId="18" xfId="60" applyNumberFormat="1" applyFont="1" applyFill="1" applyBorder="1" applyAlignment="1" applyProtection="1">
      <alignment horizontal="center" vertical="center"/>
      <protection/>
    </xf>
    <xf numFmtId="49" fontId="11" fillId="36" borderId="14" xfId="60" applyNumberFormat="1" applyFont="1" applyFill="1" applyBorder="1" applyAlignment="1" applyProtection="1">
      <alignment horizontal="center" vertical="center" wrapText="1"/>
      <protection/>
    </xf>
    <xf numFmtId="49" fontId="11" fillId="36" borderId="20" xfId="60" applyNumberFormat="1" applyFont="1" applyFill="1" applyBorder="1" applyAlignment="1" applyProtection="1">
      <alignment horizontal="center" vertical="center"/>
      <protection/>
    </xf>
    <xf numFmtId="49" fontId="11" fillId="36" borderId="18" xfId="60" applyNumberFormat="1" applyFont="1" applyFill="1" applyBorder="1" applyAlignment="1" applyProtection="1">
      <alignment horizontal="center" vertical="center"/>
      <protection/>
    </xf>
    <xf numFmtId="49" fontId="11" fillId="36" borderId="19" xfId="60" applyNumberFormat="1" applyFont="1" applyFill="1" applyBorder="1" applyAlignment="1" applyProtection="1">
      <alignment horizontal="center" vertical="center"/>
      <protection/>
    </xf>
    <xf numFmtId="49" fontId="11" fillId="36" borderId="40" xfId="60" applyNumberFormat="1" applyFont="1" applyFill="1" applyBorder="1" applyAlignment="1" applyProtection="1">
      <alignment horizontal="center" vertical="center"/>
      <protection/>
    </xf>
    <xf numFmtId="49" fontId="11" fillId="36" borderId="40" xfId="60" applyNumberFormat="1" applyFont="1" applyFill="1" applyBorder="1" applyAlignment="1" applyProtection="1">
      <alignment horizontal="center" vertical="center"/>
      <protection locked="0"/>
    </xf>
    <xf numFmtId="37" fontId="11" fillId="36" borderId="16" xfId="60" applyFont="1" applyFill="1" applyBorder="1" applyAlignment="1" applyProtection="1">
      <alignment horizontal="center" vertical="center"/>
      <protection locked="0"/>
    </xf>
    <xf numFmtId="37" fontId="11" fillId="36" borderId="33" xfId="60" applyFont="1" applyFill="1" applyBorder="1" applyAlignment="1" applyProtection="1">
      <alignment horizontal="center" vertical="center"/>
      <protection/>
    </xf>
    <xf numFmtId="37" fontId="11" fillId="36" borderId="33" xfId="60" applyFont="1" applyFill="1" applyBorder="1" applyAlignment="1" applyProtection="1">
      <alignment horizontal="center" vertical="center"/>
      <protection locked="0"/>
    </xf>
    <xf numFmtId="49" fontId="11" fillId="36" borderId="18" xfId="60" applyNumberFormat="1" applyFont="1" applyFill="1" applyBorder="1" applyAlignment="1" applyProtection="1">
      <alignment horizontal="center" vertical="center"/>
      <protection locked="0"/>
    </xf>
    <xf numFmtId="37" fontId="7" fillId="0" borderId="15" xfId="60" applyFont="1" applyFill="1" applyBorder="1" applyAlignment="1" applyProtection="1">
      <alignment vertical="center"/>
      <protection/>
    </xf>
    <xf numFmtId="37" fontId="7" fillId="0" borderId="20" xfId="60" applyFont="1" applyFill="1" applyBorder="1" applyAlignment="1" applyProtection="1">
      <alignment vertical="center"/>
      <protection/>
    </xf>
    <xf numFmtId="49" fontId="9" fillId="35" borderId="38" xfId="60" applyNumberFormat="1" applyFont="1" applyFill="1" applyBorder="1" applyAlignment="1" applyProtection="1">
      <alignment horizontal="center" vertical="center"/>
      <protection/>
    </xf>
    <xf numFmtId="49" fontId="9" fillId="35" borderId="22" xfId="60" applyNumberFormat="1" applyFont="1" applyFill="1" applyBorder="1" applyAlignment="1" applyProtection="1">
      <alignment horizontal="center" vertical="center"/>
      <protection/>
    </xf>
    <xf numFmtId="37" fontId="9" fillId="35" borderId="22" xfId="60" applyFont="1" applyFill="1" applyBorder="1" applyAlignment="1" applyProtection="1">
      <alignment horizontal="left" vertical="center" wrapText="1"/>
      <protection/>
    </xf>
    <xf numFmtId="37" fontId="9" fillId="35" borderId="38" xfId="60" applyFont="1" applyFill="1" applyBorder="1" applyAlignment="1" applyProtection="1">
      <alignment vertical="center"/>
      <protection/>
    </xf>
    <xf numFmtId="37" fontId="9" fillId="35" borderId="22" xfId="60" applyFont="1" applyFill="1" applyBorder="1" applyAlignment="1" applyProtection="1">
      <alignment vertical="center"/>
      <protection/>
    </xf>
    <xf numFmtId="37" fontId="9" fillId="35" borderId="23" xfId="60" applyFont="1" applyFill="1" applyBorder="1" applyAlignment="1" applyProtection="1">
      <alignment vertical="center"/>
      <protection/>
    </xf>
    <xf numFmtId="37" fontId="9" fillId="35" borderId="22" xfId="60" applyFont="1" applyFill="1" applyBorder="1" applyAlignment="1" applyProtection="1">
      <alignment vertical="center"/>
      <protection locked="0"/>
    </xf>
    <xf numFmtId="49" fontId="9" fillId="34" borderId="27" xfId="60" applyNumberFormat="1" applyFont="1" applyFill="1" applyBorder="1" applyAlignment="1" applyProtection="1">
      <alignment horizontal="center" vertical="center"/>
      <protection/>
    </xf>
    <xf numFmtId="49" fontId="9" fillId="34" borderId="21" xfId="60" applyNumberFormat="1" applyFont="1" applyFill="1" applyBorder="1" applyAlignment="1" applyProtection="1">
      <alignment horizontal="center" vertical="center"/>
      <protection/>
    </xf>
    <xf numFmtId="49" fontId="9" fillId="34" borderId="21" xfId="60" applyNumberFormat="1" applyFont="1" applyFill="1" applyBorder="1" applyAlignment="1" applyProtection="1" quotePrefix="1">
      <alignment horizontal="center" vertical="center"/>
      <protection/>
    </xf>
    <xf numFmtId="37" fontId="9" fillId="34" borderId="21" xfId="60" applyFont="1" applyFill="1" applyBorder="1" applyAlignment="1" applyProtection="1">
      <alignment vertical="center" wrapText="1"/>
      <protection/>
    </xf>
    <xf numFmtId="37" fontId="9" fillId="34" borderId="27" xfId="60" applyFont="1" applyFill="1" applyBorder="1" applyAlignment="1" applyProtection="1">
      <alignment vertical="center"/>
      <protection/>
    </xf>
    <xf numFmtId="37" fontId="9" fillId="34" borderId="21" xfId="60" applyFont="1" applyFill="1" applyBorder="1" applyAlignment="1" applyProtection="1">
      <alignment vertical="center"/>
      <protection/>
    </xf>
    <xf numFmtId="37" fontId="9" fillId="34" borderId="28" xfId="60" applyFont="1" applyFill="1" applyBorder="1" applyAlignment="1" applyProtection="1">
      <alignment vertical="center"/>
      <protection/>
    </xf>
    <xf numFmtId="37" fontId="9" fillId="34" borderId="21" xfId="60" applyFont="1" applyFill="1" applyBorder="1" applyAlignment="1" applyProtection="1">
      <alignment vertical="center"/>
      <protection locked="0"/>
    </xf>
    <xf numFmtId="37" fontId="7" fillId="0" borderId="18" xfId="60" applyFont="1" applyFill="1" applyBorder="1" applyAlignment="1" applyProtection="1">
      <alignment vertical="center" wrapText="1"/>
      <protection/>
    </xf>
    <xf numFmtId="37" fontId="9" fillId="0" borderId="33" xfId="60" applyFont="1" applyFill="1" applyBorder="1" applyAlignment="1" applyProtection="1">
      <alignment horizontal="center" vertical="center"/>
      <protection/>
    </xf>
    <xf numFmtId="37" fontId="9" fillId="0" borderId="33" xfId="60" applyFont="1" applyFill="1" applyBorder="1" applyAlignment="1" applyProtection="1">
      <alignment horizontal="center" vertical="center"/>
      <protection locked="0"/>
    </xf>
    <xf numFmtId="49" fontId="1" fillId="0" borderId="18" xfId="60" applyNumberFormat="1" applyFont="1" applyFill="1" applyBorder="1" applyAlignment="1" applyProtection="1">
      <alignment horizontal="center" vertical="center"/>
      <protection/>
    </xf>
    <xf numFmtId="49" fontId="1" fillId="0" borderId="18" xfId="60" applyNumberFormat="1" applyFont="1" applyFill="1" applyBorder="1" applyAlignment="1" applyProtection="1">
      <alignment horizontal="center" vertical="center"/>
      <protection locked="0"/>
    </xf>
    <xf numFmtId="37" fontId="9" fillId="34" borderId="24" xfId="61" applyFont="1" applyFill="1" applyBorder="1" applyAlignment="1" applyProtection="1">
      <alignment horizontal="centerContinuous" vertical="center"/>
      <protection locked="0"/>
    </xf>
    <xf numFmtId="37" fontId="9" fillId="34" borderId="26" xfId="61" applyFont="1" applyFill="1" applyBorder="1" applyAlignment="1" applyProtection="1">
      <alignment horizontal="centerContinuous" vertical="center"/>
      <protection locked="0"/>
    </xf>
    <xf numFmtId="188" fontId="9" fillId="34" borderId="12" xfId="61" applyNumberFormat="1" applyFont="1" applyFill="1" applyBorder="1" applyAlignment="1" applyProtection="1">
      <alignment horizontal="centerContinuous" vertical="center"/>
      <protection locked="0"/>
    </xf>
    <xf numFmtId="188" fontId="9" fillId="34" borderId="14" xfId="61" applyNumberFormat="1" applyFont="1" applyFill="1" applyBorder="1" applyAlignment="1" applyProtection="1">
      <alignment horizontal="centerContinuous" vertical="center"/>
      <protection locked="0"/>
    </xf>
    <xf numFmtId="37" fontId="9" fillId="35" borderId="23" xfId="60" applyFont="1" applyFill="1" applyBorder="1" applyAlignment="1" applyProtection="1" quotePrefix="1">
      <alignment horizontal="left" vertical="center" wrapText="1"/>
      <protection/>
    </xf>
    <xf numFmtId="37" fontId="9" fillId="34" borderId="28" xfId="60" applyFont="1" applyFill="1" applyBorder="1" applyAlignment="1" applyProtection="1">
      <alignment vertical="center" wrapText="1"/>
      <protection/>
    </xf>
    <xf numFmtId="37" fontId="9" fillId="34" borderId="35" xfId="60" applyFont="1" applyFill="1" applyBorder="1" applyAlignment="1" applyProtection="1">
      <alignment horizontal="left" vertical="center" wrapText="1"/>
      <protection/>
    </xf>
    <xf numFmtId="37" fontId="9" fillId="34" borderId="36" xfId="60" applyFont="1" applyFill="1" applyBorder="1" applyAlignment="1" applyProtection="1">
      <alignment vertical="center"/>
      <protection/>
    </xf>
    <xf numFmtId="37" fontId="9" fillId="34" borderId="36" xfId="60" applyFont="1" applyFill="1" applyBorder="1" applyAlignment="1" applyProtection="1">
      <alignment vertical="center"/>
      <protection locked="0"/>
    </xf>
    <xf numFmtId="37" fontId="9" fillId="34" borderId="37" xfId="60" applyFont="1" applyFill="1" applyBorder="1" applyAlignment="1" applyProtection="1">
      <alignment vertical="center"/>
      <protection/>
    </xf>
    <xf numFmtId="37" fontId="9" fillId="34" borderId="48" xfId="60" applyFont="1" applyFill="1" applyBorder="1" applyAlignment="1" applyProtection="1">
      <alignment horizontal="left" vertical="center" wrapText="1"/>
      <protection/>
    </xf>
    <xf numFmtId="37" fontId="9" fillId="34" borderId="49" xfId="60" applyFont="1" applyFill="1" applyBorder="1" applyAlignment="1" applyProtection="1">
      <alignment vertical="center"/>
      <protection/>
    </xf>
    <xf numFmtId="37" fontId="9" fillId="34" borderId="49" xfId="60" applyFont="1" applyFill="1" applyBorder="1" applyAlignment="1" applyProtection="1">
      <alignment vertical="center"/>
      <protection locked="0"/>
    </xf>
    <xf numFmtId="37" fontId="9" fillId="34" borderId="50" xfId="60" applyFont="1" applyFill="1" applyBorder="1" applyAlignment="1" applyProtection="1">
      <alignment vertical="center"/>
      <protection/>
    </xf>
    <xf numFmtId="37" fontId="9" fillId="35" borderId="35" xfId="60" applyFont="1" applyFill="1" applyBorder="1" applyAlignment="1" applyProtection="1">
      <alignment horizontal="left" vertical="center" wrapText="1"/>
      <protection/>
    </xf>
    <xf numFmtId="37" fontId="9" fillId="35" borderId="36" xfId="60" applyFont="1" applyFill="1" applyBorder="1" applyAlignment="1" applyProtection="1">
      <alignment vertical="center"/>
      <protection/>
    </xf>
    <xf numFmtId="37" fontId="9" fillId="35" borderId="36" xfId="60" applyFont="1" applyFill="1" applyBorder="1" applyAlignment="1" applyProtection="1">
      <alignment vertical="center"/>
      <protection locked="0"/>
    </xf>
    <xf numFmtId="37" fontId="9" fillId="35" borderId="37" xfId="60" applyFont="1" applyFill="1" applyBorder="1" applyAlignment="1" applyProtection="1">
      <alignment vertical="center"/>
      <protection/>
    </xf>
    <xf numFmtId="37" fontId="9" fillId="35" borderId="48" xfId="60" applyFont="1" applyFill="1" applyBorder="1" applyAlignment="1" applyProtection="1">
      <alignment horizontal="left" vertical="center" wrapText="1"/>
      <protection/>
    </xf>
    <xf numFmtId="37" fontId="9" fillId="35" borderId="49" xfId="60" applyFont="1" applyFill="1" applyBorder="1" applyAlignment="1" applyProtection="1">
      <alignment vertical="center"/>
      <protection/>
    </xf>
    <xf numFmtId="37" fontId="9" fillId="35" borderId="49" xfId="60" applyFont="1" applyFill="1" applyBorder="1" applyAlignment="1" applyProtection="1">
      <alignment vertical="center"/>
      <protection locked="0"/>
    </xf>
    <xf numFmtId="37" fontId="9" fillId="35" borderId="50" xfId="60" applyFont="1" applyFill="1" applyBorder="1" applyAlignment="1" applyProtection="1">
      <alignment vertical="center"/>
      <protection/>
    </xf>
    <xf numFmtId="37" fontId="9" fillId="36" borderId="38" xfId="60" applyFont="1" applyFill="1" applyBorder="1" applyAlignment="1" applyProtection="1">
      <alignment horizontal="left" vertical="center" wrapText="1"/>
      <protection/>
    </xf>
    <xf numFmtId="37" fontId="9" fillId="36" borderId="22" xfId="60" applyFont="1" applyFill="1" applyBorder="1" applyAlignment="1" applyProtection="1">
      <alignment vertical="center"/>
      <protection/>
    </xf>
    <xf numFmtId="37" fontId="9" fillId="36" borderId="22" xfId="60" applyFont="1" applyFill="1" applyBorder="1" applyAlignment="1" applyProtection="1">
      <alignment vertical="center"/>
      <protection locked="0"/>
    </xf>
    <xf numFmtId="37" fontId="9" fillId="36" borderId="23" xfId="60" applyFont="1" applyFill="1" applyBorder="1" applyAlignment="1" applyProtection="1">
      <alignment vertical="center"/>
      <protection/>
    </xf>
    <xf numFmtId="37" fontId="9" fillId="34" borderId="35" xfId="60" applyFont="1" applyFill="1" applyBorder="1" applyAlignment="1" applyProtection="1">
      <alignment vertical="center"/>
      <protection/>
    </xf>
    <xf numFmtId="37" fontId="9" fillId="34" borderId="48" xfId="60" applyFont="1" applyFill="1" applyBorder="1" applyAlignment="1" applyProtection="1">
      <alignment vertical="center"/>
      <protection/>
    </xf>
    <xf numFmtId="37" fontId="9" fillId="35" borderId="35" xfId="60" applyFont="1" applyFill="1" applyBorder="1" applyAlignment="1" applyProtection="1">
      <alignment vertical="center"/>
      <protection/>
    </xf>
    <xf numFmtId="37" fontId="9" fillId="35" borderId="48" xfId="60" applyFont="1" applyFill="1" applyBorder="1" applyAlignment="1" applyProtection="1">
      <alignment vertical="center"/>
      <protection/>
    </xf>
    <xf numFmtId="37" fontId="9" fillId="36" borderId="38" xfId="60" applyFont="1" applyFill="1" applyBorder="1" applyAlignment="1" applyProtection="1">
      <alignment vertical="center"/>
      <protection/>
    </xf>
    <xf numFmtId="37" fontId="0" fillId="0" borderId="40" xfId="60" applyFont="1" applyFill="1" applyBorder="1" applyAlignment="1" applyProtection="1">
      <alignment horizontal="left" vertical="center"/>
      <protection/>
    </xf>
    <xf numFmtId="37" fontId="7" fillId="36" borderId="10" xfId="62" applyFont="1" applyFill="1" applyBorder="1" applyAlignment="1" applyProtection="1">
      <alignment horizontal="center" vertical="center"/>
      <protection locked="0"/>
    </xf>
    <xf numFmtId="37" fontId="7" fillId="36" borderId="11" xfId="62" applyFont="1" applyFill="1" applyBorder="1" applyAlignment="1" applyProtection="1">
      <alignment horizontal="center" vertical="center"/>
      <protection locked="0"/>
    </xf>
    <xf numFmtId="37" fontId="0" fillId="33" borderId="24" xfId="60" applyFont="1" applyFill="1" applyBorder="1" applyAlignment="1" applyProtection="1">
      <alignment horizontal="left" vertical="center"/>
      <protection/>
    </xf>
    <xf numFmtId="37" fontId="0" fillId="33" borderId="25" xfId="60" applyFont="1" applyFill="1" applyBorder="1" applyAlignment="1" applyProtection="1">
      <alignment horizontal="left" vertical="center"/>
      <protection/>
    </xf>
    <xf numFmtId="0" fontId="0" fillId="33" borderId="25" xfId="0" applyFont="1" applyFill="1" applyBorder="1" applyAlignment="1" applyProtection="1">
      <alignment vertical="center"/>
      <protection/>
    </xf>
    <xf numFmtId="37" fontId="7" fillId="33" borderId="25" xfId="60" applyFont="1" applyFill="1" applyBorder="1" applyAlignment="1" applyProtection="1">
      <alignment vertical="center"/>
      <protection/>
    </xf>
    <xf numFmtId="37" fontId="7" fillId="33" borderId="26" xfId="60" applyFont="1" applyFill="1" applyBorder="1" applyAlignment="1" applyProtection="1">
      <alignment horizontal="right" vertical="center"/>
      <protection/>
    </xf>
    <xf numFmtId="37" fontId="0" fillId="33" borderId="12" xfId="60" applyFont="1" applyFill="1" applyBorder="1" applyAlignment="1" applyProtection="1">
      <alignment horizontal="left" vertical="center"/>
      <protection/>
    </xf>
    <xf numFmtId="37" fontId="0" fillId="33" borderId="13" xfId="6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37" fontId="0" fillId="33" borderId="13" xfId="60" applyFont="1" applyFill="1" applyBorder="1" applyAlignment="1" applyProtection="1">
      <alignment vertical="center"/>
      <protection/>
    </xf>
    <xf numFmtId="37" fontId="7" fillId="33" borderId="13" xfId="60" applyFont="1" applyFill="1" applyBorder="1" applyAlignment="1" applyProtection="1">
      <alignment vertical="center"/>
      <protection/>
    </xf>
    <xf numFmtId="37" fontId="7" fillId="33" borderId="14" xfId="60" applyFont="1" applyFill="1" applyBorder="1" applyAlignment="1" applyProtection="1">
      <alignment horizontal="right" vertical="center"/>
      <protection/>
    </xf>
    <xf numFmtId="37" fontId="9" fillId="34" borderId="25" xfId="61" applyFont="1" applyFill="1" applyBorder="1" applyAlignment="1" applyProtection="1">
      <alignment horizontal="centerContinuous" vertical="center"/>
      <protection locked="0"/>
    </xf>
    <xf numFmtId="188" fontId="9" fillId="34" borderId="13" xfId="61" applyNumberFormat="1" applyFont="1" applyFill="1" applyBorder="1" applyAlignment="1" applyProtection="1">
      <alignment horizontal="centerContinuous" vertical="center"/>
      <protection locked="0"/>
    </xf>
    <xf numFmtId="37" fontId="11" fillId="36" borderId="25" xfId="60" applyFont="1" applyFill="1" applyBorder="1" applyAlignment="1" applyProtection="1">
      <alignment horizontal="center" vertical="center"/>
      <protection/>
    </xf>
    <xf numFmtId="37" fontId="11" fillId="36" borderId="0" xfId="60" applyFont="1" applyFill="1" applyBorder="1" applyAlignment="1" applyProtection="1">
      <alignment horizontal="center" vertical="center"/>
      <protection/>
    </xf>
    <xf numFmtId="49" fontId="11" fillId="36" borderId="13" xfId="60" applyNumberFormat="1" applyFont="1" applyFill="1" applyBorder="1" applyAlignment="1" applyProtection="1">
      <alignment horizontal="center" vertical="center"/>
      <protection/>
    </xf>
    <xf numFmtId="37" fontId="9" fillId="35" borderId="42" xfId="60" applyFont="1" applyFill="1" applyBorder="1" applyAlignment="1" applyProtection="1">
      <alignment vertical="center"/>
      <protection/>
    </xf>
    <xf numFmtId="37" fontId="9" fillId="35" borderId="51" xfId="60" applyFont="1" applyFill="1" applyBorder="1" applyAlignment="1" applyProtection="1">
      <alignment vertical="center"/>
      <protection/>
    </xf>
    <xf numFmtId="37" fontId="9" fillId="34" borderId="52" xfId="60" applyFont="1" applyFill="1" applyBorder="1" applyAlignment="1" applyProtection="1">
      <alignment vertical="center"/>
      <protection/>
    </xf>
    <xf numFmtId="37" fontId="9" fillId="34" borderId="53" xfId="60" applyFont="1" applyFill="1" applyBorder="1" applyAlignment="1" applyProtection="1">
      <alignment vertical="center"/>
      <protection/>
    </xf>
    <xf numFmtId="37" fontId="9" fillId="35" borderId="52" xfId="60" applyFont="1" applyFill="1" applyBorder="1" applyAlignment="1" applyProtection="1">
      <alignment vertical="center"/>
      <protection/>
    </xf>
    <xf numFmtId="37" fontId="9" fillId="35" borderId="53" xfId="60" applyFont="1" applyFill="1" applyBorder="1" applyAlignment="1" applyProtection="1">
      <alignment vertical="center"/>
      <protection/>
    </xf>
    <xf numFmtId="37" fontId="9" fillId="36" borderId="42" xfId="60" applyFont="1" applyFill="1" applyBorder="1" applyAlignment="1" applyProtection="1">
      <alignment vertical="center"/>
      <protection/>
    </xf>
    <xf numFmtId="37" fontId="9" fillId="33" borderId="25" xfId="61" applyFont="1" applyFill="1" applyBorder="1" applyAlignment="1">
      <alignment horizontal="center" vertical="center"/>
      <protection/>
    </xf>
    <xf numFmtId="49" fontId="9" fillId="33" borderId="13" xfId="61" applyNumberFormat="1" applyFont="1" applyFill="1" applyBorder="1" applyAlignment="1">
      <alignment horizontal="center" vertical="center"/>
      <protection/>
    </xf>
    <xf numFmtId="37" fontId="9" fillId="34" borderId="54" xfId="61" applyFont="1" applyFill="1" applyBorder="1" applyAlignment="1" applyProtection="1">
      <alignment horizontal="center" vertical="center"/>
      <protection locked="0"/>
    </xf>
    <xf numFmtId="188" fontId="9" fillId="34" borderId="55" xfId="61" applyNumberFormat="1" applyFont="1" applyFill="1" applyBorder="1" applyAlignment="1" applyProtection="1">
      <alignment horizontal="center" vertical="center"/>
      <protection locked="0"/>
    </xf>
    <xf numFmtId="37" fontId="9" fillId="34" borderId="17" xfId="60" applyFont="1" applyFill="1" applyBorder="1" applyAlignment="1" applyProtection="1">
      <alignment vertical="center"/>
      <protection/>
    </xf>
    <xf numFmtId="37" fontId="9" fillId="34" borderId="19" xfId="60" applyFont="1" applyFill="1" applyBorder="1" applyAlignment="1" applyProtection="1">
      <alignment vertical="center"/>
      <protection/>
    </xf>
    <xf numFmtId="37" fontId="9" fillId="33" borderId="26" xfId="60" applyFont="1" applyFill="1" applyBorder="1" applyAlignment="1" applyProtection="1">
      <alignment horizontal="center" vertical="center"/>
      <protection/>
    </xf>
    <xf numFmtId="49" fontId="1" fillId="33" borderId="14" xfId="60" applyNumberFormat="1" applyFont="1" applyFill="1" applyBorder="1" applyAlignment="1" applyProtection="1">
      <alignment horizontal="center" vertical="center"/>
      <protection/>
    </xf>
    <xf numFmtId="37" fontId="9" fillId="0" borderId="0" xfId="60" applyFont="1" applyFill="1" applyBorder="1" applyAlignment="1" applyProtection="1">
      <alignment vertical="center"/>
      <protection/>
    </xf>
    <xf numFmtId="37" fontId="11" fillId="36" borderId="26" xfId="60" applyFont="1" applyFill="1" applyBorder="1" applyAlignment="1" applyProtection="1">
      <alignment horizontal="center" vertical="center"/>
      <protection/>
    </xf>
    <xf numFmtId="37" fontId="11" fillId="36" borderId="46" xfId="60" applyFont="1" applyFill="1" applyBorder="1" applyAlignment="1" applyProtection="1">
      <alignment horizontal="center" vertical="center"/>
      <protection/>
    </xf>
    <xf numFmtId="49" fontId="11" fillId="36" borderId="14" xfId="60" applyNumberFormat="1" applyFont="1" applyFill="1" applyBorder="1" applyAlignment="1" applyProtection="1">
      <alignment horizontal="center" vertical="center"/>
      <protection/>
    </xf>
    <xf numFmtId="37" fontId="9" fillId="34" borderId="16" xfId="60" applyFont="1" applyFill="1" applyBorder="1" applyAlignment="1" applyProtection="1">
      <alignment vertical="center"/>
      <protection/>
    </xf>
    <xf numFmtId="37" fontId="9" fillId="34" borderId="18" xfId="60" applyFont="1" applyFill="1" applyBorder="1" applyAlignment="1" applyProtection="1">
      <alignment vertical="center"/>
      <protection/>
    </xf>
    <xf numFmtId="37" fontId="9" fillId="33" borderId="34" xfId="60" applyFont="1" applyFill="1" applyBorder="1" applyAlignment="1" applyProtection="1">
      <alignment horizontal="center" vertical="center"/>
      <protection/>
    </xf>
    <xf numFmtId="49" fontId="1" fillId="33" borderId="19" xfId="60" applyNumberFormat="1" applyFont="1" applyFill="1" applyBorder="1" applyAlignment="1" applyProtection="1">
      <alignment horizontal="center" vertical="center"/>
      <protection/>
    </xf>
    <xf numFmtId="37" fontId="11" fillId="36" borderId="34" xfId="60" applyFont="1" applyFill="1" applyBorder="1" applyAlignment="1" applyProtection="1">
      <alignment horizontal="center" vertical="center"/>
      <protection/>
    </xf>
    <xf numFmtId="37" fontId="11" fillId="36" borderId="17" xfId="60" applyFont="1" applyFill="1" applyBorder="1" applyAlignment="1" applyProtection="1">
      <alignment horizontal="center" vertical="center"/>
      <protection/>
    </xf>
    <xf numFmtId="49" fontId="11" fillId="36" borderId="19" xfId="60" applyNumberFormat="1" applyFont="1" applyFill="1" applyBorder="1" applyAlignment="1" applyProtection="1" quotePrefix="1">
      <alignment horizontal="center" vertical="center"/>
      <protection/>
    </xf>
    <xf numFmtId="37" fontId="9" fillId="35" borderId="28" xfId="60" applyFont="1" applyFill="1" applyBorder="1" applyAlignment="1" applyProtection="1">
      <alignment vertical="center"/>
      <protection/>
    </xf>
    <xf numFmtId="37" fontId="7" fillId="35" borderId="15" xfId="60" applyFont="1" applyFill="1" applyBorder="1" applyAlignment="1" applyProtection="1">
      <alignment vertical="center"/>
      <protection/>
    </xf>
    <xf numFmtId="37" fontId="7" fillId="35" borderId="17" xfId="60" applyFont="1" applyFill="1" applyBorder="1" applyAlignment="1" applyProtection="1">
      <alignment vertical="center"/>
      <protection/>
    </xf>
    <xf numFmtId="37" fontId="7" fillId="35" borderId="20" xfId="60" applyFont="1" applyFill="1" applyBorder="1" applyAlignment="1" applyProtection="1">
      <alignment vertical="center"/>
      <protection/>
    </xf>
    <xf numFmtId="37" fontId="7" fillId="35" borderId="19" xfId="60" applyFont="1" applyFill="1" applyBorder="1" applyAlignment="1" applyProtection="1">
      <alignment vertical="center"/>
      <protection/>
    </xf>
    <xf numFmtId="37" fontId="9" fillId="35" borderId="21" xfId="60" applyFont="1" applyFill="1" applyBorder="1" applyAlignment="1" applyProtection="1">
      <alignment vertical="center"/>
      <protection/>
    </xf>
    <xf numFmtId="37" fontId="7" fillId="35" borderId="16" xfId="60" applyFont="1" applyFill="1" applyBorder="1" applyAlignment="1" applyProtection="1">
      <alignment vertical="center"/>
      <protection/>
    </xf>
    <xf numFmtId="37" fontId="7" fillId="35" borderId="18" xfId="60" applyFont="1" applyFill="1" applyBorder="1" applyAlignment="1" applyProtection="1">
      <alignment vertical="center"/>
      <protection/>
    </xf>
    <xf numFmtId="37" fontId="7" fillId="33" borderId="17" xfId="60" applyFont="1" applyFill="1" applyBorder="1" applyAlignment="1" applyProtection="1">
      <alignment vertical="center" wrapText="1"/>
      <protection/>
    </xf>
    <xf numFmtId="37" fontId="7" fillId="33" borderId="19" xfId="60" applyFont="1" applyFill="1" applyBorder="1" applyAlignment="1" applyProtection="1">
      <alignment vertical="center" wrapText="1"/>
      <protection/>
    </xf>
    <xf numFmtId="37" fontId="9" fillId="0" borderId="24" xfId="62" applyFont="1" applyFill="1" applyBorder="1" applyAlignment="1" applyProtection="1">
      <alignment horizontal="centerContinuous" vertical="center"/>
      <protection/>
    </xf>
    <xf numFmtId="37" fontId="1" fillId="0" borderId="25" xfId="62" applyFont="1" applyBorder="1" applyAlignment="1">
      <alignment horizontal="centerContinuous" vertical="center"/>
      <protection/>
    </xf>
    <xf numFmtId="37" fontId="1" fillId="0" borderId="25" xfId="62" applyFont="1" applyBorder="1" applyAlignment="1">
      <alignment horizontal="centerContinuous" vertical="center"/>
      <protection/>
    </xf>
    <xf numFmtId="37" fontId="0" fillId="0" borderId="0" xfId="62" applyFont="1" applyAlignment="1">
      <alignment vertical="center"/>
      <protection/>
    </xf>
    <xf numFmtId="37" fontId="9" fillId="0" borderId="12" xfId="62" applyFont="1" applyFill="1" applyBorder="1" applyAlignment="1" applyProtection="1">
      <alignment horizontal="centerContinuous" vertical="center"/>
      <protection/>
    </xf>
    <xf numFmtId="37" fontId="1" fillId="0" borderId="13" xfId="62" applyFont="1" applyBorder="1" applyAlignment="1">
      <alignment horizontal="centerContinuous" vertical="center"/>
      <protection/>
    </xf>
    <xf numFmtId="37" fontId="1" fillId="0" borderId="13" xfId="62" applyFont="1" applyBorder="1" applyAlignment="1">
      <alignment horizontal="centerContinuous" vertical="center"/>
      <protection/>
    </xf>
    <xf numFmtId="37" fontId="0" fillId="0" borderId="40" xfId="62" applyFont="1" applyBorder="1" applyAlignment="1" applyProtection="1">
      <alignment horizontal="left" vertical="center"/>
      <protection/>
    </xf>
    <xf numFmtId="49" fontId="0" fillId="0" borderId="40" xfId="62" applyNumberFormat="1" applyFont="1" applyBorder="1" applyAlignment="1" applyProtection="1">
      <alignment horizontal="center" vertical="center"/>
      <protection/>
    </xf>
    <xf numFmtId="37" fontId="7" fillId="0" borderId="56" xfId="62" applyFont="1" applyFill="1" applyBorder="1" applyAlignment="1">
      <alignment vertical="center"/>
      <protection/>
    </xf>
    <xf numFmtId="37" fontId="1" fillId="0" borderId="0" xfId="62" applyFont="1" applyAlignment="1" applyProtection="1">
      <alignment horizontal="centerContinuous" vertical="center"/>
      <protection/>
    </xf>
    <xf numFmtId="37" fontId="1" fillId="0" borderId="0" xfId="62" applyFont="1" applyAlignment="1">
      <alignment horizontal="centerContinuous" vertical="center"/>
      <protection/>
    </xf>
    <xf numFmtId="37" fontId="7" fillId="33" borderId="57" xfId="62" applyFont="1" applyFill="1" applyBorder="1" applyAlignment="1" applyProtection="1">
      <alignment horizontal="centerContinuous" vertical="center"/>
      <protection/>
    </xf>
    <xf numFmtId="37" fontId="7" fillId="33" borderId="56" xfId="62" applyFont="1" applyFill="1" applyBorder="1" applyAlignment="1">
      <alignment horizontal="centerContinuous" vertical="center"/>
      <protection/>
    </xf>
    <xf numFmtId="37" fontId="7" fillId="33" borderId="57" xfId="62" applyFont="1" applyFill="1" applyBorder="1" applyAlignment="1">
      <alignment vertical="center"/>
      <protection/>
    </xf>
    <xf numFmtId="37" fontId="7" fillId="33" borderId="10" xfId="62" applyFont="1" applyFill="1" applyBorder="1" applyAlignment="1" applyProtection="1">
      <alignment horizontal="centerContinuous" vertical="center"/>
      <protection/>
    </xf>
    <xf numFmtId="37" fontId="7" fillId="33" borderId="56" xfId="62" applyFont="1" applyFill="1" applyBorder="1" applyAlignment="1" applyProtection="1">
      <alignment horizontal="centerContinuous" vertical="center"/>
      <protection/>
    </xf>
    <xf numFmtId="37" fontId="7" fillId="33" borderId="10" xfId="62" applyFont="1" applyFill="1" applyBorder="1" applyAlignment="1">
      <alignment horizontal="center" vertical="center"/>
      <protection/>
    </xf>
    <xf numFmtId="37" fontId="7" fillId="33" borderId="58" xfId="62" applyFont="1" applyFill="1" applyBorder="1" applyAlignment="1" applyProtection="1">
      <alignment horizontal="center" vertical="center"/>
      <protection locked="0"/>
    </xf>
    <xf numFmtId="37" fontId="7" fillId="33" borderId="59" xfId="62" applyFont="1" applyFill="1" applyBorder="1" applyAlignment="1" applyProtection="1">
      <alignment horizontal="center" vertical="center"/>
      <protection/>
    </xf>
    <xf numFmtId="37" fontId="7" fillId="33" borderId="60" xfId="62" applyFont="1" applyFill="1" applyBorder="1" applyAlignment="1" applyProtection="1">
      <alignment horizontal="center" vertical="center"/>
      <protection locked="0"/>
    </xf>
    <xf numFmtId="37" fontId="7" fillId="33" borderId="60" xfId="62" applyFont="1" applyFill="1" applyBorder="1" applyAlignment="1" applyProtection="1">
      <alignment horizontal="centerContinuous" vertical="center"/>
      <protection/>
    </xf>
    <xf numFmtId="37" fontId="7" fillId="33" borderId="0" xfId="62" applyFont="1" applyFill="1" applyBorder="1" applyAlignment="1">
      <alignment horizontal="centerContinuous" vertical="center"/>
      <protection/>
    </xf>
    <xf numFmtId="37" fontId="7" fillId="33" borderId="60" xfId="62" applyFont="1" applyFill="1" applyBorder="1" applyAlignment="1" applyProtection="1">
      <alignment horizontal="center" vertical="center"/>
      <protection/>
    </xf>
    <xf numFmtId="37" fontId="7" fillId="33" borderId="61" xfId="62" applyFont="1" applyFill="1" applyBorder="1" applyAlignment="1" applyProtection="1">
      <alignment horizontal="center" vertical="center"/>
      <protection locked="0"/>
    </xf>
    <xf numFmtId="37" fontId="7" fillId="33" borderId="62" xfId="62" applyFont="1" applyFill="1" applyBorder="1" applyAlignment="1">
      <alignment vertical="center"/>
      <protection/>
    </xf>
    <xf numFmtId="49" fontId="7" fillId="33" borderId="11" xfId="62" applyNumberFormat="1" applyFont="1" applyFill="1" applyBorder="1" applyAlignment="1" applyProtection="1">
      <alignment horizontal="center" vertical="center"/>
      <protection locked="0"/>
    </xf>
    <xf numFmtId="37" fontId="7" fillId="33" borderId="63" xfId="62" applyFont="1" applyFill="1" applyBorder="1" applyAlignment="1" applyProtection="1">
      <alignment horizontal="center" vertical="center"/>
      <protection/>
    </xf>
    <xf numFmtId="37" fontId="7" fillId="33" borderId="64" xfId="62" applyFont="1" applyFill="1" applyBorder="1" applyAlignment="1" applyProtection="1">
      <alignment horizontal="center" vertical="center"/>
      <protection locked="0"/>
    </xf>
    <xf numFmtId="37" fontId="7" fillId="0" borderId="0" xfId="62" applyFont="1" applyFill="1" applyBorder="1" applyAlignment="1" applyProtection="1">
      <alignment vertical="center"/>
      <protection locked="0"/>
    </xf>
    <xf numFmtId="37" fontId="7" fillId="0" borderId="0" xfId="62" applyFont="1" applyFill="1" applyBorder="1" applyAlignment="1">
      <alignment vertical="center"/>
      <protection/>
    </xf>
    <xf numFmtId="37" fontId="0" fillId="0" borderId="0" xfId="62" applyFont="1" applyBorder="1" applyAlignment="1">
      <alignment vertical="center"/>
      <protection/>
    </xf>
    <xf numFmtId="37" fontId="7" fillId="0" borderId="65" xfId="62" applyFont="1" applyFill="1" applyBorder="1" applyAlignment="1" applyProtection="1">
      <alignment vertical="center"/>
      <protection locked="0"/>
    </xf>
    <xf numFmtId="37" fontId="7" fillId="0" borderId="66" xfId="62" applyFont="1" applyFill="1" applyBorder="1" applyAlignment="1" applyProtection="1">
      <alignment vertical="center"/>
      <protection locked="0"/>
    </xf>
    <xf numFmtId="37" fontId="7" fillId="0" borderId="65" xfId="62" applyFont="1" applyFill="1" applyBorder="1" applyAlignment="1" applyProtection="1">
      <alignment vertical="center"/>
      <protection/>
    </xf>
    <xf numFmtId="37" fontId="7" fillId="0" borderId="66" xfId="62" applyFont="1" applyFill="1" applyBorder="1" applyAlignment="1" applyProtection="1">
      <alignment vertical="center"/>
      <protection/>
    </xf>
    <xf numFmtId="37" fontId="7" fillId="0" borderId="67" xfId="62" applyFont="1" applyFill="1" applyBorder="1" applyAlignment="1" applyProtection="1">
      <alignment vertical="center"/>
      <protection locked="0"/>
    </xf>
    <xf numFmtId="37" fontId="7" fillId="0" borderId="68" xfId="62" applyFont="1" applyFill="1" applyBorder="1" applyAlignment="1" applyProtection="1">
      <alignment vertical="center"/>
      <protection locked="0"/>
    </xf>
    <xf numFmtId="37" fontId="7" fillId="0" borderId="60" xfId="62" applyFont="1" applyFill="1" applyBorder="1" applyAlignment="1" applyProtection="1">
      <alignment vertical="center"/>
      <protection locked="0"/>
    </xf>
    <xf numFmtId="37" fontId="7" fillId="0" borderId="59" xfId="62" applyFont="1" applyFill="1" applyBorder="1" applyAlignment="1" applyProtection="1">
      <alignment vertical="center"/>
      <protection/>
    </xf>
    <xf numFmtId="37" fontId="7" fillId="0" borderId="60" xfId="62" applyFont="1" applyFill="1" applyBorder="1" applyAlignment="1" applyProtection="1">
      <alignment vertical="center"/>
      <protection/>
    </xf>
    <xf numFmtId="37" fontId="7" fillId="36" borderId="57" xfId="62" applyFont="1" applyFill="1" applyBorder="1" applyAlignment="1" applyProtection="1">
      <alignment horizontal="centerContinuous" vertical="center"/>
      <protection/>
    </xf>
    <xf numFmtId="37" fontId="7" fillId="36" borderId="56" xfId="62" applyFont="1" applyFill="1" applyBorder="1" applyAlignment="1">
      <alignment horizontal="centerContinuous" vertical="center"/>
      <protection/>
    </xf>
    <xf numFmtId="37" fontId="7" fillId="36" borderId="57" xfId="62" applyFont="1" applyFill="1" applyBorder="1" applyAlignment="1">
      <alignment vertical="center"/>
      <protection/>
    </xf>
    <xf numFmtId="37" fontId="7" fillId="36" borderId="10" xfId="62" applyFont="1" applyFill="1" applyBorder="1" applyAlignment="1" applyProtection="1">
      <alignment horizontal="centerContinuous" vertical="center"/>
      <protection/>
    </xf>
    <xf numFmtId="37" fontId="7" fillId="36" borderId="56" xfId="62" applyFont="1" applyFill="1" applyBorder="1" applyAlignment="1" applyProtection="1">
      <alignment horizontal="centerContinuous" vertical="center"/>
      <protection/>
    </xf>
    <xf numFmtId="37" fontId="7" fillId="36" borderId="10" xfId="62" applyFont="1" applyFill="1" applyBorder="1" applyAlignment="1">
      <alignment horizontal="center" vertical="center"/>
      <protection/>
    </xf>
    <xf numFmtId="37" fontId="7" fillId="36" borderId="58" xfId="62" applyFont="1" applyFill="1" applyBorder="1" applyAlignment="1" applyProtection="1">
      <alignment horizontal="center" vertical="center"/>
      <protection locked="0"/>
    </xf>
    <xf numFmtId="37" fontId="7" fillId="36" borderId="59" xfId="62" applyFont="1" applyFill="1" applyBorder="1" applyAlignment="1" applyProtection="1">
      <alignment horizontal="center" vertical="center"/>
      <protection/>
    </xf>
    <xf numFmtId="37" fontId="7" fillId="36" borderId="60" xfId="62" applyFont="1" applyFill="1" applyBorder="1" applyAlignment="1" applyProtection="1">
      <alignment horizontal="center" vertical="center"/>
      <protection locked="0"/>
    </xf>
    <xf numFmtId="37" fontId="7" fillId="36" borderId="60" xfId="62" applyFont="1" applyFill="1" applyBorder="1" applyAlignment="1" applyProtection="1">
      <alignment horizontal="centerContinuous" vertical="center"/>
      <protection/>
    </xf>
    <xf numFmtId="37" fontId="7" fillId="36" borderId="0" xfId="62" applyFont="1" applyFill="1" applyBorder="1" applyAlignment="1">
      <alignment horizontal="centerContinuous" vertical="center"/>
      <protection/>
    </xf>
    <xf numFmtId="37" fontId="7" fillId="36" borderId="60" xfId="62" applyFont="1" applyFill="1" applyBorder="1" applyAlignment="1" applyProtection="1">
      <alignment horizontal="center" vertical="center"/>
      <protection/>
    </xf>
    <xf numFmtId="37" fontId="7" fillId="36" borderId="61" xfId="62" applyFont="1" applyFill="1" applyBorder="1" applyAlignment="1" applyProtection="1">
      <alignment horizontal="center" vertical="center"/>
      <protection locked="0"/>
    </xf>
    <xf numFmtId="37" fontId="7" fillId="36" borderId="62" xfId="62" applyFont="1" applyFill="1" applyBorder="1" applyAlignment="1">
      <alignment vertical="center"/>
      <protection/>
    </xf>
    <xf numFmtId="49" fontId="7" fillId="36" borderId="11" xfId="62" applyNumberFormat="1" applyFont="1" applyFill="1" applyBorder="1" applyAlignment="1" applyProtection="1">
      <alignment horizontal="center" vertical="center"/>
      <protection locked="0"/>
    </xf>
    <xf numFmtId="37" fontId="7" fillId="36" borderId="63" xfId="62" applyFont="1" applyFill="1" applyBorder="1" applyAlignment="1" applyProtection="1">
      <alignment horizontal="center" vertical="center"/>
      <protection/>
    </xf>
    <xf numFmtId="37" fontId="7" fillId="36" borderId="64" xfId="62" applyFont="1" applyFill="1" applyBorder="1" applyAlignment="1" applyProtection="1">
      <alignment horizontal="center" vertical="center"/>
      <protection locked="0"/>
    </xf>
    <xf numFmtId="37" fontId="14" fillId="33" borderId="57" xfId="62" applyFont="1" applyFill="1" applyBorder="1" applyAlignment="1" applyProtection="1">
      <alignment horizontal="center" vertical="center"/>
      <protection locked="0"/>
    </xf>
    <xf numFmtId="37" fontId="14" fillId="33" borderId="10" xfId="62" applyFont="1" applyFill="1" applyBorder="1" applyAlignment="1" applyProtection="1">
      <alignment horizontal="center" vertical="center"/>
      <protection locked="0"/>
    </xf>
    <xf numFmtId="37" fontId="14" fillId="33" borderId="62" xfId="62" applyFont="1" applyFill="1" applyBorder="1" applyAlignment="1" applyProtection="1">
      <alignment horizontal="center" vertical="center"/>
      <protection locked="0"/>
    </xf>
    <xf numFmtId="37" fontId="14" fillId="33" borderId="11" xfId="62" applyFont="1" applyFill="1" applyBorder="1" applyAlignment="1" applyProtection="1">
      <alignment horizontal="center" vertical="center"/>
      <protection locked="0"/>
    </xf>
    <xf numFmtId="37" fontId="14" fillId="36" borderId="57" xfId="62" applyFont="1" applyFill="1" applyBorder="1" applyAlignment="1" applyProtection="1">
      <alignment horizontal="center" vertical="center"/>
      <protection locked="0"/>
    </xf>
    <xf numFmtId="37" fontId="14" fillId="36" borderId="10" xfId="62" applyFont="1" applyFill="1" applyBorder="1" applyAlignment="1" applyProtection="1">
      <alignment horizontal="center" vertical="center"/>
      <protection locked="0"/>
    </xf>
    <xf numFmtId="37" fontId="14" fillId="36" borderId="62" xfId="62" applyFont="1" applyFill="1" applyBorder="1" applyAlignment="1" applyProtection="1">
      <alignment horizontal="center" vertical="center"/>
      <protection locked="0"/>
    </xf>
    <xf numFmtId="37" fontId="14" fillId="36" borderId="11" xfId="62" applyFont="1" applyFill="1" applyBorder="1" applyAlignment="1" applyProtection="1">
      <alignment horizontal="center" vertical="center"/>
      <protection locked="0"/>
    </xf>
    <xf numFmtId="37" fontId="7" fillId="34" borderId="66" xfId="62" applyFont="1" applyFill="1" applyBorder="1" applyAlignment="1" applyProtection="1">
      <alignment vertical="center"/>
      <protection locked="0"/>
    </xf>
    <xf numFmtId="37" fontId="7" fillId="34" borderId="60" xfId="62" applyFont="1" applyFill="1" applyBorder="1" applyAlignment="1" applyProtection="1">
      <alignment vertical="center"/>
      <protection locked="0"/>
    </xf>
    <xf numFmtId="37" fontId="7" fillId="35" borderId="69" xfId="62" applyFont="1" applyFill="1" applyBorder="1" applyAlignment="1" applyProtection="1">
      <alignment vertical="center"/>
      <protection locked="0"/>
    </xf>
    <xf numFmtId="37" fontId="7" fillId="35" borderId="61" xfId="62" applyFont="1" applyFill="1" applyBorder="1" applyAlignment="1" applyProtection="1">
      <alignment vertical="center"/>
      <protection locked="0"/>
    </xf>
    <xf numFmtId="37" fontId="9" fillId="34" borderId="10" xfId="62" applyFont="1" applyFill="1" applyBorder="1" applyAlignment="1" applyProtection="1">
      <alignment vertical="center"/>
      <protection/>
    </xf>
    <xf numFmtId="37" fontId="9" fillId="35" borderId="70" xfId="62" applyFont="1" applyFill="1" applyBorder="1" applyAlignment="1" applyProtection="1">
      <alignment vertical="center"/>
      <protection/>
    </xf>
    <xf numFmtId="37" fontId="9" fillId="34" borderId="57" xfId="62" applyFont="1" applyFill="1" applyBorder="1" applyAlignment="1" applyProtection="1">
      <alignment vertical="center"/>
      <protection locked="0"/>
    </xf>
    <xf numFmtId="37" fontId="9" fillId="34" borderId="10" xfId="62" applyFont="1" applyFill="1" applyBorder="1" applyAlignment="1" applyProtection="1">
      <alignment vertical="center"/>
      <protection locked="0"/>
    </xf>
    <xf numFmtId="37" fontId="9" fillId="34" borderId="57" xfId="62" applyFont="1" applyFill="1" applyBorder="1" applyAlignment="1" applyProtection="1">
      <alignment vertical="center"/>
      <protection/>
    </xf>
    <xf numFmtId="37" fontId="9" fillId="34" borderId="58" xfId="62" applyFont="1" applyFill="1" applyBorder="1" applyAlignment="1" applyProtection="1">
      <alignment vertical="center"/>
      <protection locked="0"/>
    </xf>
    <xf numFmtId="37" fontId="1" fillId="0" borderId="0" xfId="62" applyFont="1" applyAlignment="1">
      <alignment vertical="center"/>
      <protection/>
    </xf>
    <xf numFmtId="37" fontId="9" fillId="0" borderId="71" xfId="62" applyFont="1" applyFill="1" applyBorder="1" applyAlignment="1" applyProtection="1">
      <alignment vertical="center"/>
      <protection locked="0"/>
    </xf>
    <xf numFmtId="37" fontId="9" fillId="0" borderId="63" xfId="62" applyFont="1" applyFill="1" applyBorder="1" applyAlignment="1" applyProtection="1">
      <alignment vertical="center"/>
      <protection locked="0"/>
    </xf>
    <xf numFmtId="37" fontId="9" fillId="0" borderId="71" xfId="62" applyFont="1" applyFill="1" applyBorder="1" applyAlignment="1" applyProtection="1">
      <alignment vertical="center"/>
      <protection/>
    </xf>
    <xf numFmtId="37" fontId="9" fillId="34" borderId="63" xfId="62" applyFont="1" applyFill="1" applyBorder="1" applyAlignment="1" applyProtection="1">
      <alignment vertical="center"/>
      <protection locked="0"/>
    </xf>
    <xf numFmtId="37" fontId="9" fillId="0" borderId="63" xfId="62" applyFont="1" applyFill="1" applyBorder="1" applyAlignment="1" applyProtection="1">
      <alignment vertical="center"/>
      <protection/>
    </xf>
    <xf numFmtId="37" fontId="9" fillId="35" borderId="72" xfId="62" applyFont="1" applyFill="1" applyBorder="1" applyAlignment="1" applyProtection="1">
      <alignment vertical="center"/>
      <protection locked="0"/>
    </xf>
    <xf numFmtId="37" fontId="9" fillId="35" borderId="73" xfId="62" applyFont="1" applyFill="1" applyBorder="1" applyAlignment="1" applyProtection="1">
      <alignment vertical="center"/>
      <protection locked="0"/>
    </xf>
    <xf numFmtId="37" fontId="1" fillId="35" borderId="74" xfId="62" applyFont="1" applyFill="1" applyBorder="1" applyAlignment="1">
      <alignment vertical="center"/>
      <protection/>
    </xf>
    <xf numFmtId="37" fontId="15" fillId="35" borderId="74" xfId="62" applyFont="1" applyFill="1" applyBorder="1" applyAlignment="1" applyProtection="1">
      <alignment vertical="center"/>
      <protection locked="0"/>
    </xf>
    <xf numFmtId="37" fontId="9" fillId="35" borderId="73" xfId="62" applyFont="1" applyFill="1" applyBorder="1" applyAlignment="1" applyProtection="1">
      <alignment vertical="center"/>
      <protection/>
    </xf>
    <xf numFmtId="37" fontId="9" fillId="35" borderId="70" xfId="62" applyFont="1" applyFill="1" applyBorder="1" applyAlignment="1" applyProtection="1">
      <alignment vertical="center"/>
      <protection locked="0"/>
    </xf>
    <xf numFmtId="37" fontId="9" fillId="35" borderId="75" xfId="62" applyFont="1" applyFill="1" applyBorder="1" applyAlignment="1" applyProtection="1">
      <alignment vertical="center"/>
      <protection locked="0"/>
    </xf>
    <xf numFmtId="37" fontId="9" fillId="0" borderId="73" xfId="62" applyFont="1" applyFill="1" applyBorder="1" applyAlignment="1" applyProtection="1">
      <alignment vertical="center"/>
      <protection locked="0"/>
    </xf>
    <xf numFmtId="37" fontId="9" fillId="0" borderId="70" xfId="62" applyFont="1" applyFill="1" applyBorder="1" applyAlignment="1" applyProtection="1">
      <alignment vertical="center"/>
      <protection locked="0"/>
    </xf>
    <xf numFmtId="37" fontId="9" fillId="0" borderId="73" xfId="62" applyFont="1" applyFill="1" applyBorder="1" applyAlignment="1" applyProtection="1">
      <alignment vertical="center"/>
      <protection/>
    </xf>
    <xf numFmtId="37" fontId="9" fillId="34" borderId="70" xfId="62" applyFont="1" applyFill="1" applyBorder="1" applyAlignment="1" applyProtection="1">
      <alignment vertical="center"/>
      <protection locked="0"/>
    </xf>
    <xf numFmtId="37" fontId="9" fillId="0" borderId="70" xfId="62" applyFont="1" applyFill="1" applyBorder="1" applyAlignment="1" applyProtection="1">
      <alignment vertical="center"/>
      <protection/>
    </xf>
    <xf numFmtId="37" fontId="9" fillId="34" borderId="66" xfId="62" applyFont="1" applyFill="1" applyBorder="1" applyAlignment="1" applyProtection="1">
      <alignment vertical="center"/>
      <protection locked="0"/>
    </xf>
    <xf numFmtId="37" fontId="12" fillId="0" borderId="25" xfId="61" applyFont="1" applyFill="1" applyBorder="1" applyAlignment="1">
      <alignment horizontal="centerContinuous" vertical="center"/>
      <protection/>
    </xf>
    <xf numFmtId="37" fontId="9" fillId="34" borderId="66" xfId="62" applyFont="1" applyFill="1" applyBorder="1" applyAlignment="1" applyProtection="1">
      <alignment vertical="center"/>
      <protection/>
    </xf>
    <xf numFmtId="37" fontId="9" fillId="34" borderId="60" xfId="62" applyFont="1" applyFill="1" applyBorder="1" applyAlignment="1" applyProtection="1">
      <alignment vertical="center"/>
      <protection/>
    </xf>
    <xf numFmtId="37" fontId="9" fillId="34" borderId="63" xfId="62" applyFont="1" applyFill="1" applyBorder="1" applyAlignment="1" applyProtection="1">
      <alignment vertical="center"/>
      <protection/>
    </xf>
    <xf numFmtId="37" fontId="9" fillId="34" borderId="70" xfId="62" applyFont="1" applyFill="1" applyBorder="1" applyAlignment="1" applyProtection="1">
      <alignment vertical="center"/>
      <protection/>
    </xf>
    <xf numFmtId="37" fontId="7" fillId="0" borderId="76" xfId="62" applyFont="1" applyFill="1" applyBorder="1" applyAlignment="1" applyProtection="1">
      <alignment vertical="center"/>
      <protection locked="0"/>
    </xf>
    <xf numFmtId="37" fontId="7" fillId="0" borderId="21" xfId="62" applyFont="1" applyFill="1" applyBorder="1" applyAlignment="1" applyProtection="1">
      <alignment vertical="center"/>
      <protection locked="0"/>
    </xf>
    <xf numFmtId="37" fontId="9" fillId="35" borderId="38" xfId="61" applyFont="1" applyFill="1" applyBorder="1" applyAlignment="1">
      <alignment horizontal="center" vertical="center"/>
      <protection/>
    </xf>
    <xf numFmtId="37" fontId="9" fillId="35" borderId="23" xfId="61" applyFont="1" applyFill="1" applyBorder="1" applyAlignment="1" applyProtection="1">
      <alignment vertical="center"/>
      <protection locked="0"/>
    </xf>
    <xf numFmtId="37" fontId="9" fillId="0" borderId="77" xfId="62" applyFont="1" applyFill="1" applyBorder="1" applyAlignment="1" applyProtection="1">
      <alignment horizontal="centerContinuous" vertical="center"/>
      <protection/>
    </xf>
    <xf numFmtId="37" fontId="1" fillId="0" borderId="0" xfId="62" applyFont="1" applyBorder="1" applyAlignment="1">
      <alignment horizontal="centerContinuous" vertical="center"/>
      <protection/>
    </xf>
    <xf numFmtId="37" fontId="1" fillId="0" borderId="0" xfId="62" applyFont="1" applyBorder="1" applyAlignment="1">
      <alignment horizontal="centerContinuous" vertical="center"/>
      <protection/>
    </xf>
    <xf numFmtId="37" fontId="0" fillId="0" borderId="77" xfId="60" applyFont="1" applyFill="1" applyBorder="1" applyAlignment="1" applyProtection="1">
      <alignment horizontal="left" vertical="center"/>
      <protection/>
    </xf>
    <xf numFmtId="37" fontId="0" fillId="0" borderId="47" xfId="60" applyFont="1" applyFill="1" applyBorder="1" applyAlignment="1" applyProtection="1">
      <alignment horizontal="left" vertical="center"/>
      <protection/>
    </xf>
    <xf numFmtId="37" fontId="0" fillId="0" borderId="47" xfId="62" applyFont="1" applyBorder="1" applyAlignment="1" applyProtection="1">
      <alignment horizontal="center" vertical="center"/>
      <protection/>
    </xf>
    <xf numFmtId="37" fontId="0" fillId="0" borderId="47" xfId="62" applyFont="1" applyBorder="1" applyAlignment="1" applyProtection="1">
      <alignment horizontal="left" vertical="center"/>
      <protection/>
    </xf>
    <xf numFmtId="37" fontId="7" fillId="0" borderId="46" xfId="60" applyFont="1" applyFill="1" applyBorder="1" applyAlignment="1" applyProtection="1">
      <alignment horizontal="right" vertical="center"/>
      <protection/>
    </xf>
    <xf numFmtId="37" fontId="9" fillId="34" borderId="77" xfId="61" applyFont="1" applyFill="1" applyBorder="1" applyAlignment="1" applyProtection="1">
      <alignment horizontal="centerContinuous" vertical="center"/>
      <protection locked="0"/>
    </xf>
    <xf numFmtId="37" fontId="9" fillId="34" borderId="46" xfId="61" applyFont="1" applyFill="1" applyBorder="1" applyAlignment="1" applyProtection="1">
      <alignment horizontal="centerContinuous" vertical="center"/>
      <protection locked="0"/>
    </xf>
    <xf numFmtId="37" fontId="12" fillId="0" borderId="13" xfId="61" applyFont="1" applyFill="1" applyBorder="1" applyAlignment="1">
      <alignment horizontal="centerContinuous" vertical="center" wrapText="1"/>
      <protection/>
    </xf>
    <xf numFmtId="37" fontId="11" fillId="36" borderId="21" xfId="60" applyFont="1" applyFill="1" applyBorder="1" applyAlignment="1" applyProtection="1">
      <alignment horizontal="center" vertical="center"/>
      <protection/>
    </xf>
    <xf numFmtId="37" fontId="11" fillId="36" borderId="78" xfId="60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wrapText="1"/>
    </xf>
    <xf numFmtId="0" fontId="17" fillId="0" borderId="24" xfId="0" applyFont="1" applyBorder="1" applyAlignment="1">
      <alignment horizontal="centerContinuous"/>
    </xf>
    <xf numFmtId="0" fontId="17" fillId="0" borderId="25" xfId="0" applyFont="1" applyBorder="1" applyAlignment="1">
      <alignment horizontal="centerContinuous"/>
    </xf>
    <xf numFmtId="0" fontId="17" fillId="0" borderId="26" xfId="0" applyFont="1" applyBorder="1" applyAlignment="1">
      <alignment horizontal="centerContinuous"/>
    </xf>
    <xf numFmtId="0" fontId="0" fillId="0" borderId="77" xfId="0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7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0" fontId="16" fillId="0" borderId="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0" fillId="0" borderId="46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1" xfId="0" applyBorder="1" applyAlignment="1">
      <alignment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7" fontId="0" fillId="33" borderId="42" xfId="62" applyFont="1" applyFill="1" applyBorder="1" applyAlignment="1">
      <alignment vertical="center"/>
      <protection/>
    </xf>
    <xf numFmtId="37" fontId="0" fillId="33" borderId="43" xfId="62" applyFont="1" applyFill="1" applyBorder="1" applyAlignment="1">
      <alignment vertical="center"/>
      <protection/>
    </xf>
    <xf numFmtId="37" fontId="18" fillId="33" borderId="41" xfId="62" applyFont="1" applyFill="1" applyBorder="1" applyAlignment="1">
      <alignment vertical="center"/>
      <protection/>
    </xf>
    <xf numFmtId="37" fontId="17" fillId="33" borderId="41" xfId="62" applyFont="1" applyFill="1" applyBorder="1" applyAlignment="1">
      <alignment vertical="center"/>
      <protection/>
    </xf>
    <xf numFmtId="3" fontId="0" fillId="0" borderId="0" xfId="0" applyNumberFormat="1" applyAlignment="1">
      <alignment/>
    </xf>
    <xf numFmtId="188" fontId="9" fillId="38" borderId="40" xfId="61" applyNumberFormat="1" applyFont="1" applyFill="1" applyBorder="1" applyAlignment="1" applyProtection="1">
      <alignment horizontal="centerContinuous" vertical="center"/>
      <protection locked="0"/>
    </xf>
    <xf numFmtId="37" fontId="12" fillId="0" borderId="0" xfId="61" applyFont="1" applyFill="1" applyBorder="1" applyAlignment="1">
      <alignment horizontal="centerContinuous" vertical="center" wrapText="1"/>
      <protection/>
    </xf>
    <xf numFmtId="4" fontId="0" fillId="0" borderId="0" xfId="0" applyNumberFormat="1" applyAlignment="1">
      <alignment/>
    </xf>
    <xf numFmtId="49" fontId="7" fillId="0" borderId="60" xfId="60" applyNumberFormat="1" applyFont="1" applyFill="1" applyBorder="1" applyAlignment="1" applyProtection="1">
      <alignment horizontal="center" vertical="center"/>
      <protection/>
    </xf>
    <xf numFmtId="49" fontId="9" fillId="38" borderId="15" xfId="60" applyNumberFormat="1" applyFont="1" applyFill="1" applyBorder="1" applyAlignment="1" applyProtection="1">
      <alignment horizontal="center" vertical="center"/>
      <protection/>
    </xf>
    <xf numFmtId="37" fontId="9" fillId="38" borderId="15" xfId="60" applyFont="1" applyFill="1" applyBorder="1" applyAlignment="1" applyProtection="1">
      <alignment vertical="center"/>
      <protection/>
    </xf>
    <xf numFmtId="37" fontId="9" fillId="38" borderId="16" xfId="60" applyFont="1" applyFill="1" applyBorder="1" applyAlignment="1" applyProtection="1">
      <alignment vertical="center"/>
      <protection/>
    </xf>
    <xf numFmtId="37" fontId="9" fillId="38" borderId="16" xfId="60" applyFont="1" applyFill="1" applyBorder="1" applyAlignment="1" applyProtection="1">
      <alignment vertical="center"/>
      <protection locked="0"/>
    </xf>
    <xf numFmtId="49" fontId="7" fillId="38" borderId="16" xfId="60" applyNumberFormat="1" applyFont="1" applyFill="1" applyBorder="1" applyAlignment="1" applyProtection="1">
      <alignment horizontal="center" vertical="center"/>
      <protection/>
    </xf>
    <xf numFmtId="37" fontId="7" fillId="38" borderId="16" xfId="60" applyFont="1" applyFill="1" applyBorder="1" applyAlignment="1" applyProtection="1">
      <alignment vertical="center" wrapText="1"/>
      <protection/>
    </xf>
    <xf numFmtId="37" fontId="7" fillId="0" borderId="47" xfId="60" applyFont="1" applyFill="1" applyBorder="1" applyAlignment="1" applyProtection="1">
      <alignment vertical="center"/>
      <protection/>
    </xf>
    <xf numFmtId="37" fontId="9" fillId="34" borderId="29" xfId="60" applyFont="1" applyFill="1" applyBorder="1" applyAlignment="1" applyProtection="1">
      <alignment horizontal="left" vertical="center" wrapText="1"/>
      <protection/>
    </xf>
    <xf numFmtId="37" fontId="0" fillId="0" borderId="79" xfId="60" applyFont="1" applyFill="1" applyBorder="1" applyAlignment="1" applyProtection="1">
      <alignment vertical="center" wrapText="1"/>
      <protection/>
    </xf>
    <xf numFmtId="49" fontId="8" fillId="36" borderId="35" xfId="60" applyNumberFormat="1" applyFont="1" applyFill="1" applyBorder="1" applyAlignment="1" applyProtection="1">
      <alignment horizontal="centerContinuous" vertical="center"/>
      <protection/>
    </xf>
    <xf numFmtId="49" fontId="8" fillId="36" borderId="36" xfId="60" applyNumberFormat="1" applyFont="1" applyFill="1" applyBorder="1" applyAlignment="1" applyProtection="1">
      <alignment horizontal="centerContinuous" vertical="center"/>
      <protection/>
    </xf>
    <xf numFmtId="49" fontId="14" fillId="0" borderId="0" xfId="60" applyNumberFormat="1" applyFont="1" applyFill="1" applyBorder="1" applyAlignment="1" applyProtection="1">
      <alignment horizontal="center" vertical="center"/>
      <protection/>
    </xf>
    <xf numFmtId="49" fontId="8" fillId="37" borderId="41" xfId="60" applyNumberFormat="1" applyFont="1" applyFill="1" applyBorder="1" applyAlignment="1" applyProtection="1">
      <alignment horizontal="centerContinuous" vertical="center"/>
      <protection/>
    </xf>
    <xf numFmtId="49" fontId="8" fillId="37" borderId="42" xfId="60" applyNumberFormat="1" applyFont="1" applyFill="1" applyBorder="1" applyAlignment="1" applyProtection="1">
      <alignment horizontal="centerContinuous" vertical="center"/>
      <protection/>
    </xf>
    <xf numFmtId="49" fontId="8" fillId="35" borderId="38" xfId="60" applyNumberFormat="1" applyFont="1" applyFill="1" applyBorder="1" applyAlignment="1" applyProtection="1">
      <alignment horizontal="center" vertical="center"/>
      <protection/>
    </xf>
    <xf numFmtId="49" fontId="8" fillId="35" borderId="22" xfId="60" applyNumberFormat="1" applyFont="1" applyFill="1" applyBorder="1" applyAlignment="1" applyProtection="1">
      <alignment horizontal="center" vertical="center"/>
      <protection/>
    </xf>
    <xf numFmtId="49" fontId="8" fillId="34" borderId="27" xfId="60" applyNumberFormat="1" applyFont="1" applyFill="1" applyBorder="1" applyAlignment="1" applyProtection="1">
      <alignment horizontal="center" vertical="center"/>
      <protection/>
    </xf>
    <xf numFmtId="49" fontId="8" fillId="34" borderId="21" xfId="60" applyNumberFormat="1" applyFont="1" applyFill="1" applyBorder="1" applyAlignment="1" applyProtection="1">
      <alignment horizontal="center" vertical="center"/>
      <protection/>
    </xf>
    <xf numFmtId="49" fontId="8" fillId="34" borderId="21" xfId="60" applyNumberFormat="1" applyFont="1" applyFill="1" applyBorder="1" applyAlignment="1" applyProtection="1" quotePrefix="1">
      <alignment horizontal="center" vertical="center"/>
      <protection/>
    </xf>
    <xf numFmtId="49" fontId="14" fillId="0" borderId="15" xfId="60" applyNumberFormat="1" applyFont="1" applyFill="1" applyBorder="1" applyAlignment="1" applyProtection="1">
      <alignment horizontal="center" vertical="center"/>
      <protection/>
    </xf>
    <xf numFmtId="49" fontId="14" fillId="0" borderId="16" xfId="60" applyNumberFormat="1" applyFont="1" applyFill="1" applyBorder="1" applyAlignment="1" applyProtection="1">
      <alignment horizontal="center" vertical="center"/>
      <protection/>
    </xf>
    <xf numFmtId="49" fontId="14" fillId="0" borderId="16" xfId="60" applyNumberFormat="1" applyFont="1" applyFill="1" applyBorder="1" applyAlignment="1" applyProtection="1" quotePrefix="1">
      <alignment horizontal="center" vertical="center"/>
      <protection/>
    </xf>
    <xf numFmtId="49" fontId="14" fillId="0" borderId="20" xfId="60" applyNumberFormat="1" applyFont="1" applyFill="1" applyBorder="1" applyAlignment="1" applyProtection="1">
      <alignment horizontal="center" vertical="center"/>
      <protection/>
    </xf>
    <xf numFmtId="49" fontId="14" fillId="0" borderId="18" xfId="60" applyNumberFormat="1" applyFont="1" applyFill="1" applyBorder="1" applyAlignment="1" applyProtection="1">
      <alignment horizontal="center" vertical="center"/>
      <protection/>
    </xf>
    <xf numFmtId="49" fontId="14" fillId="0" borderId="18" xfId="60" applyNumberFormat="1" applyFont="1" applyFill="1" applyBorder="1" applyAlignment="1" applyProtection="1" quotePrefix="1">
      <alignment horizontal="center" vertical="center"/>
      <protection/>
    </xf>
    <xf numFmtId="49" fontId="21" fillId="0" borderId="0" xfId="60" applyNumberFormat="1" applyFont="1" applyFill="1" applyBorder="1" applyAlignment="1" applyProtection="1">
      <alignment horizontal="center" vertical="center"/>
      <protection/>
    </xf>
    <xf numFmtId="49" fontId="14" fillId="0" borderId="77" xfId="60" applyNumberFormat="1" applyFont="1" applyFill="1" applyBorder="1" applyAlignment="1" applyProtection="1">
      <alignment horizontal="center" vertical="center"/>
      <protection/>
    </xf>
    <xf numFmtId="49" fontId="12" fillId="0" borderId="0" xfId="60" applyNumberFormat="1" applyFont="1" applyFill="1" applyBorder="1" applyAlignment="1" applyProtection="1">
      <alignment horizontal="centerContinuous" vertical="center"/>
      <protection/>
    </xf>
    <xf numFmtId="49" fontId="8" fillId="0" borderId="0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 horizontal="center" vertical="center"/>
      <protection/>
    </xf>
    <xf numFmtId="49" fontId="23" fillId="0" borderId="0" xfId="60" applyNumberFormat="1" applyFont="1" applyFill="1" applyBorder="1" applyAlignment="1" applyProtection="1">
      <alignment horizontal="center" vertical="center"/>
      <protection/>
    </xf>
    <xf numFmtId="37" fontId="23" fillId="0" borderId="0" xfId="60" applyFont="1" applyFill="1" applyBorder="1" applyAlignment="1" applyProtection="1">
      <alignment vertical="center" wrapText="1"/>
      <protection/>
    </xf>
    <xf numFmtId="37" fontId="23" fillId="0" borderId="0" xfId="60" applyFont="1" applyFill="1" applyBorder="1" applyAlignment="1" applyProtection="1">
      <alignment vertical="center"/>
      <protection/>
    </xf>
    <xf numFmtId="37" fontId="23" fillId="0" borderId="0" xfId="60" applyFont="1" applyFill="1" applyBorder="1" applyAlignment="1" applyProtection="1">
      <alignment vertical="center"/>
      <protection locked="0"/>
    </xf>
    <xf numFmtId="37" fontId="24" fillId="0" borderId="0" xfId="60" applyFont="1" applyFill="1" applyBorder="1" applyAlignment="1" applyProtection="1">
      <alignment vertical="center"/>
      <protection/>
    </xf>
    <xf numFmtId="49" fontId="24" fillId="36" borderId="36" xfId="60" applyNumberFormat="1" applyFont="1" applyFill="1" applyBorder="1" applyAlignment="1" applyProtection="1">
      <alignment horizontal="centerContinuous" vertical="center"/>
      <protection/>
    </xf>
    <xf numFmtId="37" fontId="24" fillId="36" borderId="26" xfId="60" applyFont="1" applyFill="1" applyBorder="1" applyAlignment="1" applyProtection="1">
      <alignment horizontal="center" vertical="center" wrapText="1"/>
      <protection/>
    </xf>
    <xf numFmtId="37" fontId="24" fillId="36" borderId="32" xfId="60" applyFont="1" applyFill="1" applyBorder="1" applyAlignment="1" applyProtection="1">
      <alignment horizontal="center" vertical="center"/>
      <protection/>
    </xf>
    <xf numFmtId="37" fontId="24" fillId="36" borderId="36" xfId="60" applyFont="1" applyFill="1" applyBorder="1" applyAlignment="1" applyProtection="1">
      <alignment horizontal="centerContinuous" vertical="center"/>
      <protection/>
    </xf>
    <xf numFmtId="37" fontId="24" fillId="36" borderId="34" xfId="60" applyFont="1" applyFill="1" applyBorder="1" applyAlignment="1" applyProtection="1">
      <alignment horizontal="center" vertical="center"/>
      <protection/>
    </xf>
    <xf numFmtId="37" fontId="24" fillId="36" borderId="39" xfId="60" applyFont="1" applyFill="1" applyBorder="1" applyAlignment="1" applyProtection="1">
      <alignment horizontal="center" vertical="center"/>
      <protection/>
    </xf>
    <xf numFmtId="37" fontId="24" fillId="36" borderId="39" xfId="60" applyFont="1" applyFill="1" applyBorder="1" applyAlignment="1" applyProtection="1">
      <alignment horizontal="center" vertical="center"/>
      <protection locked="0"/>
    </xf>
    <xf numFmtId="37" fontId="24" fillId="36" borderId="26" xfId="60" applyFont="1" applyFill="1" applyBorder="1" applyAlignment="1" applyProtection="1">
      <alignment horizontal="center" vertical="center"/>
      <protection/>
    </xf>
    <xf numFmtId="37" fontId="24" fillId="36" borderId="33" xfId="60" applyFont="1" applyFill="1" applyBorder="1" applyAlignment="1" applyProtection="1">
      <alignment horizontal="center" vertical="center"/>
      <protection/>
    </xf>
    <xf numFmtId="37" fontId="24" fillId="36" borderId="33" xfId="60" applyFont="1" applyFill="1" applyBorder="1" applyAlignment="1" applyProtection="1">
      <alignment horizontal="center" vertical="center"/>
      <protection locked="0"/>
    </xf>
    <xf numFmtId="37" fontId="24" fillId="36" borderId="25" xfId="60" applyFont="1" applyFill="1" applyBorder="1" applyAlignment="1" applyProtection="1">
      <alignment horizontal="center" vertical="center"/>
      <protection/>
    </xf>
    <xf numFmtId="49" fontId="24" fillId="36" borderId="45" xfId="60" applyNumberFormat="1" applyFont="1" applyFill="1" applyBorder="1" applyAlignment="1" applyProtection="1">
      <alignment horizontal="center" vertical="center"/>
      <protection/>
    </xf>
    <xf numFmtId="37" fontId="24" fillId="36" borderId="46" xfId="60" applyFont="1" applyFill="1" applyBorder="1" applyAlignment="1" applyProtection="1">
      <alignment horizontal="center" vertical="center" wrapText="1"/>
      <protection/>
    </xf>
    <xf numFmtId="37" fontId="24" fillId="36" borderId="15" xfId="60" applyFont="1" applyFill="1" applyBorder="1" applyAlignment="1" applyProtection="1">
      <alignment horizontal="center" vertical="center"/>
      <protection/>
    </xf>
    <xf numFmtId="37" fontId="24" fillId="36" borderId="78" xfId="60" applyFont="1" applyFill="1" applyBorder="1" applyAlignment="1" applyProtection="1">
      <alignment horizontal="centerContinuous" vertical="center"/>
      <protection/>
    </xf>
    <xf numFmtId="37" fontId="24" fillId="36" borderId="80" xfId="60" applyFont="1" applyFill="1" applyBorder="1" applyAlignment="1" applyProtection="1">
      <alignment horizontal="centerContinuous" vertical="center"/>
      <protection/>
    </xf>
    <xf numFmtId="37" fontId="24" fillId="36" borderId="16" xfId="60" applyFont="1" applyFill="1" applyBorder="1" applyAlignment="1" applyProtection="1">
      <alignment horizontal="center" vertical="center"/>
      <protection/>
    </xf>
    <xf numFmtId="37" fontId="24" fillId="36" borderId="17" xfId="60" applyFont="1" applyFill="1" applyBorder="1" applyAlignment="1" applyProtection="1">
      <alignment horizontal="center" vertical="center"/>
      <protection/>
    </xf>
    <xf numFmtId="37" fontId="24" fillId="36" borderId="21" xfId="60" applyFont="1" applyFill="1" applyBorder="1" applyAlignment="1" applyProtection="1">
      <alignment horizontal="centerContinuous" vertical="center"/>
      <protection/>
    </xf>
    <xf numFmtId="37" fontId="24" fillId="36" borderId="21" xfId="60" applyFont="1" applyFill="1" applyBorder="1" applyAlignment="1" applyProtection="1">
      <alignment horizontal="center" vertical="center"/>
      <protection/>
    </xf>
    <xf numFmtId="37" fontId="24" fillId="36" borderId="47" xfId="60" applyFont="1" applyFill="1" applyBorder="1" applyAlignment="1" applyProtection="1">
      <alignment horizontal="center" vertical="center"/>
      <protection/>
    </xf>
    <xf numFmtId="37" fontId="24" fillId="36" borderId="47" xfId="60" applyFont="1" applyFill="1" applyBorder="1" applyAlignment="1" applyProtection="1">
      <alignment horizontal="center" vertical="center"/>
      <protection locked="0"/>
    </xf>
    <xf numFmtId="37" fontId="24" fillId="36" borderId="46" xfId="60" applyFont="1" applyFill="1" applyBorder="1" applyAlignment="1" applyProtection="1">
      <alignment horizontal="center" vertical="center"/>
      <protection/>
    </xf>
    <xf numFmtId="37" fontId="24" fillId="36" borderId="16" xfId="60" applyFont="1" applyFill="1" applyBorder="1" applyAlignment="1" applyProtection="1">
      <alignment horizontal="center" vertical="center"/>
      <protection locked="0"/>
    </xf>
    <xf numFmtId="37" fontId="24" fillId="36" borderId="0" xfId="60" applyFont="1" applyFill="1" applyBorder="1" applyAlignment="1" applyProtection="1">
      <alignment horizontal="center" vertical="center"/>
      <protection/>
    </xf>
    <xf numFmtId="49" fontId="24" fillId="36" borderId="18" xfId="60" applyNumberFormat="1" applyFont="1" applyFill="1" applyBorder="1" applyAlignment="1" applyProtection="1">
      <alignment horizontal="center" vertical="center"/>
      <protection/>
    </xf>
    <xf numFmtId="49" fontId="24" fillId="36" borderId="20" xfId="60" applyNumberFormat="1" applyFont="1" applyFill="1" applyBorder="1" applyAlignment="1" applyProtection="1">
      <alignment horizontal="center" vertical="center"/>
      <protection/>
    </xf>
    <xf numFmtId="49" fontId="24" fillId="36" borderId="19" xfId="60" applyNumberFormat="1" applyFont="1" applyFill="1" applyBorder="1" applyAlignment="1" applyProtection="1">
      <alignment horizontal="center" vertical="center"/>
      <protection/>
    </xf>
    <xf numFmtId="49" fontId="24" fillId="36" borderId="40" xfId="60" applyNumberFormat="1" applyFont="1" applyFill="1" applyBorder="1" applyAlignment="1" applyProtection="1">
      <alignment horizontal="center" vertical="center"/>
      <protection/>
    </xf>
    <xf numFmtId="49" fontId="24" fillId="36" borderId="40" xfId="60" applyNumberFormat="1" applyFont="1" applyFill="1" applyBorder="1" applyAlignment="1" applyProtection="1">
      <alignment horizontal="center" vertical="center"/>
      <protection locked="0"/>
    </xf>
    <xf numFmtId="49" fontId="24" fillId="36" borderId="14" xfId="60" applyNumberFormat="1" applyFont="1" applyFill="1" applyBorder="1" applyAlignment="1" applyProtection="1">
      <alignment horizontal="center" vertical="center"/>
      <protection/>
    </xf>
    <xf numFmtId="49" fontId="24" fillId="36" borderId="18" xfId="60" applyNumberFormat="1" applyFont="1" applyFill="1" applyBorder="1" applyAlignment="1" applyProtection="1">
      <alignment horizontal="center" vertical="center"/>
      <protection locked="0"/>
    </xf>
    <xf numFmtId="49" fontId="24" fillId="36" borderId="19" xfId="60" applyNumberFormat="1" applyFont="1" applyFill="1" applyBorder="1" applyAlignment="1" applyProtection="1" quotePrefix="1">
      <alignment horizontal="center" vertical="center"/>
      <protection/>
    </xf>
    <xf numFmtId="49" fontId="24" fillId="36" borderId="13" xfId="60" applyNumberFormat="1" applyFont="1" applyFill="1" applyBorder="1" applyAlignment="1" applyProtection="1">
      <alignment horizontal="center" vertical="center"/>
      <protection/>
    </xf>
    <xf numFmtId="49" fontId="24" fillId="37" borderId="42" xfId="60" applyNumberFormat="1" applyFont="1" applyFill="1" applyBorder="1" applyAlignment="1" applyProtection="1">
      <alignment horizontal="centerContinuous" vertical="center"/>
      <protection/>
    </xf>
    <xf numFmtId="37" fontId="24" fillId="37" borderId="42" xfId="60" applyFont="1" applyFill="1" applyBorder="1" applyAlignment="1" applyProtection="1">
      <alignment horizontal="centerContinuous" vertical="center" wrapText="1"/>
      <protection/>
    </xf>
    <xf numFmtId="37" fontId="24" fillId="37" borderId="42" xfId="60" applyFont="1" applyFill="1" applyBorder="1" applyAlignment="1" applyProtection="1">
      <alignment horizontal="centerContinuous" vertical="center"/>
      <protection/>
    </xf>
    <xf numFmtId="37" fontId="24" fillId="37" borderId="42" xfId="60" applyFont="1" applyFill="1" applyBorder="1" applyAlignment="1" applyProtection="1">
      <alignment horizontal="centerContinuous" vertical="center"/>
      <protection locked="0"/>
    </xf>
    <xf numFmtId="37" fontId="24" fillId="37" borderId="43" xfId="60" applyFont="1" applyFill="1" applyBorder="1" applyAlignment="1" applyProtection="1">
      <alignment horizontal="centerContinuous" vertical="center"/>
      <protection/>
    </xf>
    <xf numFmtId="49" fontId="24" fillId="35" borderId="22" xfId="60" applyNumberFormat="1" applyFont="1" applyFill="1" applyBorder="1" applyAlignment="1" applyProtection="1">
      <alignment horizontal="center" vertical="center"/>
      <protection/>
    </xf>
    <xf numFmtId="37" fontId="24" fillId="35" borderId="22" xfId="60" applyFont="1" applyFill="1" applyBorder="1" applyAlignment="1" applyProtection="1">
      <alignment horizontal="left" vertical="center" wrapText="1"/>
      <protection/>
    </xf>
    <xf numFmtId="37" fontId="24" fillId="35" borderId="38" xfId="60" applyFont="1" applyFill="1" applyBorder="1" applyAlignment="1" applyProtection="1">
      <alignment vertical="center"/>
      <protection/>
    </xf>
    <xf numFmtId="37" fontId="24" fillId="35" borderId="22" xfId="60" applyFont="1" applyFill="1" applyBorder="1" applyAlignment="1" applyProtection="1">
      <alignment vertical="center"/>
      <protection/>
    </xf>
    <xf numFmtId="37" fontId="24" fillId="35" borderId="23" xfId="60" applyFont="1" applyFill="1" applyBorder="1" applyAlignment="1" applyProtection="1">
      <alignment vertical="center"/>
      <protection/>
    </xf>
    <xf numFmtId="37" fontId="24" fillId="35" borderId="22" xfId="60" applyFont="1" applyFill="1" applyBorder="1" applyAlignment="1" applyProtection="1">
      <alignment vertical="center"/>
      <protection locked="0"/>
    </xf>
    <xf numFmtId="37" fontId="24" fillId="35" borderId="42" xfId="60" applyFont="1" applyFill="1" applyBorder="1" applyAlignment="1" applyProtection="1">
      <alignment vertical="center"/>
      <protection/>
    </xf>
    <xf numFmtId="49" fontId="24" fillId="34" borderId="21" xfId="60" applyNumberFormat="1" applyFont="1" applyFill="1" applyBorder="1" applyAlignment="1" applyProtection="1">
      <alignment horizontal="center" vertical="center"/>
      <protection/>
    </xf>
    <xf numFmtId="37" fontId="24" fillId="34" borderId="21" xfId="60" applyFont="1" applyFill="1" applyBorder="1" applyAlignment="1" applyProtection="1">
      <alignment vertical="center" wrapText="1"/>
      <protection/>
    </xf>
    <xf numFmtId="37" fontId="24" fillId="34" borderId="27" xfId="60" applyFont="1" applyFill="1" applyBorder="1" applyAlignment="1" applyProtection="1">
      <alignment vertical="center"/>
      <protection/>
    </xf>
    <xf numFmtId="37" fontId="24" fillId="34" borderId="21" xfId="60" applyFont="1" applyFill="1" applyBorder="1" applyAlignment="1" applyProtection="1">
      <alignment vertical="center"/>
      <protection/>
    </xf>
    <xf numFmtId="37" fontId="24" fillId="34" borderId="28" xfId="60" applyFont="1" applyFill="1" applyBorder="1" applyAlignment="1" applyProtection="1">
      <alignment vertical="center"/>
      <protection/>
    </xf>
    <xf numFmtId="37" fontId="24" fillId="34" borderId="21" xfId="60" applyFont="1" applyFill="1" applyBorder="1" applyAlignment="1" applyProtection="1">
      <alignment vertical="center"/>
      <protection locked="0"/>
    </xf>
    <xf numFmtId="37" fontId="24" fillId="35" borderId="27" xfId="60" applyFont="1" applyFill="1" applyBorder="1" applyAlignment="1" applyProtection="1">
      <alignment vertical="center"/>
      <protection/>
    </xf>
    <xf numFmtId="37" fontId="24" fillId="35" borderId="81" xfId="60" applyFont="1" applyFill="1" applyBorder="1" applyAlignment="1" applyProtection="1">
      <alignment vertical="center"/>
      <protection/>
    </xf>
    <xf numFmtId="37" fontId="24" fillId="35" borderId="28" xfId="60" applyFont="1" applyFill="1" applyBorder="1" applyAlignment="1" applyProtection="1">
      <alignment vertical="center"/>
      <protection/>
    </xf>
    <xf numFmtId="49" fontId="23" fillId="0" borderId="16" xfId="60" applyNumberFormat="1" applyFont="1" applyFill="1" applyBorder="1" applyAlignment="1" applyProtection="1">
      <alignment horizontal="center" vertical="center"/>
      <protection/>
    </xf>
    <xf numFmtId="37" fontId="23" fillId="0" borderId="16" xfId="60" applyFont="1" applyFill="1" applyBorder="1" applyAlignment="1" applyProtection="1">
      <alignment vertical="center" wrapText="1"/>
      <protection/>
    </xf>
    <xf numFmtId="37" fontId="23" fillId="0" borderId="15" xfId="60" applyFont="1" applyFill="1" applyBorder="1" applyAlignment="1" applyProtection="1">
      <alignment vertical="center"/>
      <protection/>
    </xf>
    <xf numFmtId="37" fontId="23" fillId="0" borderId="16" xfId="60" applyFont="1" applyFill="1" applyBorder="1" applyAlignment="1" applyProtection="1">
      <alignment vertical="center"/>
      <protection/>
    </xf>
    <xf numFmtId="37" fontId="24" fillId="34" borderId="17" xfId="60" applyFont="1" applyFill="1" applyBorder="1" applyAlignment="1" applyProtection="1">
      <alignment vertical="center"/>
      <protection/>
    </xf>
    <xf numFmtId="37" fontId="23" fillId="35" borderId="15" xfId="60" applyFont="1" applyFill="1" applyBorder="1" applyAlignment="1" applyProtection="1">
      <alignment vertical="center"/>
      <protection/>
    </xf>
    <xf numFmtId="37" fontId="23" fillId="35" borderId="0" xfId="60" applyFont="1" applyFill="1" applyBorder="1" applyAlignment="1" applyProtection="1">
      <alignment vertical="center"/>
      <protection/>
    </xf>
    <xf numFmtId="37" fontId="23" fillId="35" borderId="17" xfId="60" applyFont="1" applyFill="1" applyBorder="1" applyAlignment="1" applyProtection="1">
      <alignment vertical="center"/>
      <protection/>
    </xf>
    <xf numFmtId="37" fontId="23" fillId="0" borderId="16" xfId="60" applyFont="1" applyFill="1" applyBorder="1" applyAlignment="1" applyProtection="1">
      <alignment vertical="center"/>
      <protection locked="0"/>
    </xf>
    <xf numFmtId="37" fontId="23" fillId="0" borderId="16" xfId="60" applyFont="1" applyFill="1" applyBorder="1" applyAlignment="1" applyProtection="1" quotePrefix="1">
      <alignment horizontal="left" vertical="center" wrapText="1"/>
      <protection/>
    </xf>
    <xf numFmtId="49" fontId="23" fillId="0" borderId="18" xfId="60" applyNumberFormat="1" applyFont="1" applyFill="1" applyBorder="1" applyAlignment="1" applyProtection="1">
      <alignment horizontal="center" vertical="center"/>
      <protection/>
    </xf>
    <xf numFmtId="37" fontId="23" fillId="0" borderId="18" xfId="60" applyFont="1" applyFill="1" applyBorder="1" applyAlignment="1" applyProtection="1" quotePrefix="1">
      <alignment horizontal="left" vertical="center" wrapText="1"/>
      <protection/>
    </xf>
    <xf numFmtId="37" fontId="23" fillId="0" borderId="20" xfId="60" applyFont="1" applyFill="1" applyBorder="1" applyAlignment="1" applyProtection="1">
      <alignment vertical="center"/>
      <protection/>
    </xf>
    <xf numFmtId="37" fontId="23" fillId="0" borderId="18" xfId="60" applyFont="1" applyFill="1" applyBorder="1" applyAlignment="1" applyProtection="1">
      <alignment vertical="center"/>
      <protection/>
    </xf>
    <xf numFmtId="37" fontId="24" fillId="34" borderId="19" xfId="60" applyFont="1" applyFill="1" applyBorder="1" applyAlignment="1" applyProtection="1">
      <alignment vertical="center"/>
      <protection/>
    </xf>
    <xf numFmtId="37" fontId="23" fillId="0" borderId="18" xfId="60" applyFont="1" applyFill="1" applyBorder="1" applyAlignment="1" applyProtection="1">
      <alignment vertical="center"/>
      <protection locked="0"/>
    </xf>
    <xf numFmtId="37" fontId="23" fillId="35" borderId="20" xfId="60" applyFont="1" applyFill="1" applyBorder="1" applyAlignment="1" applyProtection="1">
      <alignment vertical="center"/>
      <protection/>
    </xf>
    <xf numFmtId="37" fontId="23" fillId="35" borderId="13" xfId="60" applyFont="1" applyFill="1" applyBorder="1" applyAlignment="1" applyProtection="1">
      <alignment vertical="center"/>
      <protection/>
    </xf>
    <xf numFmtId="37" fontId="23" fillId="35" borderId="19" xfId="60" applyFont="1" applyFill="1" applyBorder="1" applyAlignment="1" applyProtection="1">
      <alignment vertical="center"/>
      <protection/>
    </xf>
    <xf numFmtId="37" fontId="24" fillId="35" borderId="23" xfId="60" applyFont="1" applyFill="1" applyBorder="1" applyAlignment="1" applyProtection="1" quotePrefix="1">
      <alignment horizontal="left" vertical="center" wrapText="1"/>
      <protection/>
    </xf>
    <xf numFmtId="37" fontId="24" fillId="35" borderId="51" xfId="60" applyFont="1" applyFill="1" applyBorder="1" applyAlignment="1" applyProtection="1">
      <alignment vertical="center"/>
      <protection/>
    </xf>
    <xf numFmtId="37" fontId="24" fillId="34" borderId="28" xfId="60" applyFont="1" applyFill="1" applyBorder="1" applyAlignment="1" applyProtection="1">
      <alignment vertical="center" wrapText="1"/>
      <protection/>
    </xf>
    <xf numFmtId="37" fontId="24" fillId="35" borderId="21" xfId="60" applyFont="1" applyFill="1" applyBorder="1" applyAlignment="1" applyProtection="1">
      <alignment vertical="center"/>
      <protection/>
    </xf>
    <xf numFmtId="37" fontId="24" fillId="35" borderId="78" xfId="60" applyFont="1" applyFill="1" applyBorder="1" applyAlignment="1" applyProtection="1">
      <alignment vertical="center"/>
      <protection/>
    </xf>
    <xf numFmtId="37" fontId="23" fillId="33" borderId="17" xfId="60" applyFont="1" applyFill="1" applyBorder="1" applyAlignment="1" applyProtection="1">
      <alignment vertical="center" wrapText="1"/>
      <protection/>
    </xf>
    <xf numFmtId="37" fontId="23" fillId="35" borderId="16" xfId="60" applyFont="1" applyFill="1" applyBorder="1" applyAlignment="1" applyProtection="1">
      <alignment vertical="center"/>
      <protection/>
    </xf>
    <xf numFmtId="37" fontId="23" fillId="35" borderId="60" xfId="60" applyFont="1" applyFill="1" applyBorder="1" applyAlignment="1" applyProtection="1">
      <alignment vertical="center"/>
      <protection/>
    </xf>
    <xf numFmtId="37" fontId="23" fillId="33" borderId="19" xfId="60" applyFont="1" applyFill="1" applyBorder="1" applyAlignment="1" applyProtection="1">
      <alignment vertical="center" wrapText="1"/>
      <protection/>
    </xf>
    <xf numFmtId="37" fontId="23" fillId="35" borderId="18" xfId="60" applyFont="1" applyFill="1" applyBorder="1" applyAlignment="1" applyProtection="1">
      <alignment vertical="center"/>
      <protection/>
    </xf>
    <xf numFmtId="37" fontId="23" fillId="35" borderId="82" xfId="60" applyFont="1" applyFill="1" applyBorder="1" applyAlignment="1" applyProtection="1">
      <alignment vertical="center"/>
      <protection/>
    </xf>
    <xf numFmtId="49" fontId="25" fillId="0" borderId="0" xfId="60" applyNumberFormat="1" applyFont="1" applyFill="1" applyBorder="1" applyAlignment="1" applyProtection="1">
      <alignment horizontal="center" vertical="center"/>
      <protection/>
    </xf>
    <xf numFmtId="37" fontId="25" fillId="0" borderId="0" xfId="60" applyFont="1" applyFill="1" applyBorder="1" applyAlignment="1" applyProtection="1">
      <alignment vertical="center" wrapText="1"/>
      <protection/>
    </xf>
    <xf numFmtId="37" fontId="25" fillId="0" borderId="0" xfId="60" applyFont="1" applyFill="1" applyBorder="1" applyAlignment="1" applyProtection="1">
      <alignment vertical="center"/>
      <protection/>
    </xf>
    <xf numFmtId="37" fontId="25" fillId="0" borderId="0" xfId="60" applyFont="1" applyFill="1" applyBorder="1" applyAlignment="1" applyProtection="1">
      <alignment vertical="center"/>
      <protection locked="0"/>
    </xf>
    <xf numFmtId="37" fontId="26" fillId="0" borderId="0" xfId="60" applyFont="1" applyFill="1" applyBorder="1" applyAlignment="1" applyProtection="1">
      <alignment vertical="center"/>
      <protection/>
    </xf>
    <xf numFmtId="37" fontId="24" fillId="34" borderId="16" xfId="60" applyFont="1" applyFill="1" applyBorder="1" applyAlignment="1" applyProtection="1">
      <alignment vertical="center"/>
      <protection/>
    </xf>
    <xf numFmtId="37" fontId="24" fillId="34" borderId="18" xfId="60" applyFont="1" applyFill="1" applyBorder="1" applyAlignment="1" applyProtection="1">
      <alignment vertical="center"/>
      <protection/>
    </xf>
    <xf numFmtId="49" fontId="26" fillId="0" borderId="0" xfId="60" applyNumberFormat="1" applyFont="1" applyFill="1" applyBorder="1" applyAlignment="1" applyProtection="1">
      <alignment horizontal="centerContinuous" vertical="center"/>
      <protection/>
    </xf>
    <xf numFmtId="37" fontId="26" fillId="0" borderId="0" xfId="60" applyFont="1" applyFill="1" applyBorder="1" applyAlignment="1" applyProtection="1">
      <alignment horizontal="centerContinuous" vertical="center" wrapText="1"/>
      <protection/>
    </xf>
    <xf numFmtId="37" fontId="26" fillId="0" borderId="0" xfId="60" applyFont="1" applyFill="1" applyBorder="1" applyAlignment="1" applyProtection="1">
      <alignment horizontal="centerContinuous" vertical="center"/>
      <protection/>
    </xf>
    <xf numFmtId="37" fontId="26" fillId="0" borderId="0" xfId="60" applyFont="1" applyFill="1" applyBorder="1" applyAlignment="1" applyProtection="1">
      <alignment horizontal="centerContinuous" vertical="center"/>
      <protection locked="0"/>
    </xf>
    <xf numFmtId="49" fontId="24" fillId="0" borderId="0" xfId="60" applyNumberFormat="1" applyFont="1" applyFill="1" applyBorder="1" applyAlignment="1" applyProtection="1">
      <alignment horizontal="center" vertical="center"/>
      <protection/>
    </xf>
    <xf numFmtId="37" fontId="24" fillId="34" borderId="35" xfId="60" applyFont="1" applyFill="1" applyBorder="1" applyAlignment="1" applyProtection="1">
      <alignment horizontal="left" vertical="center" wrapText="1"/>
      <protection/>
    </xf>
    <xf numFmtId="37" fontId="24" fillId="34" borderId="35" xfId="60" applyFont="1" applyFill="1" applyBorder="1" applyAlignment="1" applyProtection="1">
      <alignment vertical="center"/>
      <protection/>
    </xf>
    <xf numFmtId="37" fontId="24" fillId="34" borderId="36" xfId="60" applyFont="1" applyFill="1" applyBorder="1" applyAlignment="1" applyProtection="1">
      <alignment vertical="center"/>
      <protection/>
    </xf>
    <xf numFmtId="37" fontId="24" fillId="34" borderId="37" xfId="60" applyFont="1" applyFill="1" applyBorder="1" applyAlignment="1" applyProtection="1">
      <alignment vertical="center"/>
      <protection/>
    </xf>
    <xf numFmtId="37" fontId="24" fillId="34" borderId="36" xfId="60" applyFont="1" applyFill="1" applyBorder="1" applyAlignment="1" applyProtection="1">
      <alignment vertical="center"/>
      <protection locked="0"/>
    </xf>
    <xf numFmtId="37" fontId="24" fillId="34" borderId="52" xfId="60" applyFont="1" applyFill="1" applyBorder="1" applyAlignment="1" applyProtection="1">
      <alignment vertical="center"/>
      <protection/>
    </xf>
    <xf numFmtId="37" fontId="24" fillId="34" borderId="48" xfId="60" applyFont="1" applyFill="1" applyBorder="1" applyAlignment="1" applyProtection="1">
      <alignment horizontal="left" vertical="center" wrapText="1"/>
      <protection/>
    </xf>
    <xf numFmtId="37" fontId="24" fillId="34" borderId="48" xfId="60" applyFont="1" applyFill="1" applyBorder="1" applyAlignment="1" applyProtection="1">
      <alignment vertical="center"/>
      <protection/>
    </xf>
    <xf numFmtId="37" fontId="24" fillId="34" borderId="49" xfId="60" applyFont="1" applyFill="1" applyBorder="1" applyAlignment="1" applyProtection="1">
      <alignment vertical="center"/>
      <protection/>
    </xf>
    <xf numFmtId="37" fontId="24" fillId="34" borderId="50" xfId="60" applyFont="1" applyFill="1" applyBorder="1" applyAlignment="1" applyProtection="1">
      <alignment vertical="center"/>
      <protection/>
    </xf>
    <xf numFmtId="37" fontId="24" fillId="34" borderId="49" xfId="60" applyFont="1" applyFill="1" applyBorder="1" applyAlignment="1" applyProtection="1">
      <alignment vertical="center"/>
      <protection locked="0"/>
    </xf>
    <xf numFmtId="37" fontId="24" fillId="34" borderId="53" xfId="60" applyFont="1" applyFill="1" applyBorder="1" applyAlignment="1" applyProtection="1">
      <alignment vertical="center"/>
      <protection/>
    </xf>
    <xf numFmtId="37" fontId="24" fillId="35" borderId="35" xfId="60" applyFont="1" applyFill="1" applyBorder="1" applyAlignment="1" applyProtection="1">
      <alignment horizontal="left" vertical="center" wrapText="1"/>
      <protection/>
    </xf>
    <xf numFmtId="37" fontId="24" fillId="35" borderId="35" xfId="60" applyFont="1" applyFill="1" applyBorder="1" applyAlignment="1" applyProtection="1">
      <alignment vertical="center"/>
      <protection/>
    </xf>
    <xf numFmtId="37" fontId="24" fillId="35" borderId="36" xfId="60" applyFont="1" applyFill="1" applyBorder="1" applyAlignment="1" applyProtection="1">
      <alignment vertical="center"/>
      <protection/>
    </xf>
    <xf numFmtId="37" fontId="24" fillId="35" borderId="37" xfId="60" applyFont="1" applyFill="1" applyBorder="1" applyAlignment="1" applyProtection="1">
      <alignment vertical="center"/>
      <protection/>
    </xf>
    <xf numFmtId="37" fontId="24" fillId="35" borderId="36" xfId="60" applyFont="1" applyFill="1" applyBorder="1" applyAlignment="1" applyProtection="1">
      <alignment vertical="center"/>
      <protection locked="0"/>
    </xf>
    <xf numFmtId="37" fontId="24" fillId="35" borderId="52" xfId="60" applyFont="1" applyFill="1" applyBorder="1" applyAlignment="1" applyProtection="1">
      <alignment vertical="center"/>
      <protection/>
    </xf>
    <xf numFmtId="37" fontId="24" fillId="35" borderId="48" xfId="60" applyFont="1" applyFill="1" applyBorder="1" applyAlignment="1" applyProtection="1">
      <alignment horizontal="left" vertical="center" wrapText="1"/>
      <protection/>
    </xf>
    <xf numFmtId="37" fontId="24" fillId="35" borderId="48" xfId="60" applyFont="1" applyFill="1" applyBorder="1" applyAlignment="1" applyProtection="1">
      <alignment vertical="center"/>
      <protection/>
    </xf>
    <xf numFmtId="37" fontId="24" fillId="35" borderId="49" xfId="60" applyFont="1" applyFill="1" applyBorder="1" applyAlignment="1" applyProtection="1">
      <alignment vertical="center"/>
      <protection/>
    </xf>
    <xf numFmtId="37" fontId="24" fillId="35" borderId="50" xfId="60" applyFont="1" applyFill="1" applyBorder="1" applyAlignment="1" applyProtection="1">
      <alignment vertical="center"/>
      <protection/>
    </xf>
    <xf numFmtId="37" fontId="24" fillId="35" borderId="49" xfId="60" applyFont="1" applyFill="1" applyBorder="1" applyAlignment="1" applyProtection="1">
      <alignment vertical="center"/>
      <protection locked="0"/>
    </xf>
    <xf numFmtId="37" fontId="24" fillId="35" borderId="53" xfId="60" applyFont="1" applyFill="1" applyBorder="1" applyAlignment="1" applyProtection="1">
      <alignment vertical="center"/>
      <protection/>
    </xf>
    <xf numFmtId="37" fontId="24" fillId="36" borderId="38" xfId="60" applyFont="1" applyFill="1" applyBorder="1" applyAlignment="1" applyProtection="1">
      <alignment horizontal="left" vertical="center" wrapText="1"/>
      <protection/>
    </xf>
    <xf numFmtId="37" fontId="24" fillId="36" borderId="38" xfId="60" applyFont="1" applyFill="1" applyBorder="1" applyAlignment="1" applyProtection="1">
      <alignment vertical="center"/>
      <protection/>
    </xf>
    <xf numFmtId="37" fontId="24" fillId="36" borderId="22" xfId="60" applyFont="1" applyFill="1" applyBorder="1" applyAlignment="1" applyProtection="1">
      <alignment vertical="center"/>
      <protection/>
    </xf>
    <xf numFmtId="37" fontId="24" fillId="36" borderId="23" xfId="60" applyFont="1" applyFill="1" applyBorder="1" applyAlignment="1" applyProtection="1">
      <alignment vertical="center"/>
      <protection/>
    </xf>
    <xf numFmtId="37" fontId="24" fillId="36" borderId="22" xfId="60" applyFont="1" applyFill="1" applyBorder="1" applyAlignment="1" applyProtection="1">
      <alignment vertical="center"/>
      <protection locked="0"/>
    </xf>
    <xf numFmtId="37" fontId="24" fillId="36" borderId="42" xfId="60" applyFont="1" applyFill="1" applyBorder="1" applyAlignment="1" applyProtection="1">
      <alignment vertical="center"/>
      <protection/>
    </xf>
    <xf numFmtId="49" fontId="14" fillId="0" borderId="12" xfId="60" applyNumberFormat="1" applyFont="1" applyFill="1" applyBorder="1" applyAlignment="1" applyProtection="1">
      <alignment horizontal="center" vertical="center"/>
      <protection/>
    </xf>
    <xf numFmtId="49" fontId="8" fillId="34" borderId="29" xfId="60" applyNumberFormat="1" applyFont="1" applyFill="1" applyBorder="1" applyAlignment="1" applyProtection="1">
      <alignment horizontal="center" vertical="center"/>
      <protection/>
    </xf>
    <xf numFmtId="49" fontId="8" fillId="34" borderId="30" xfId="60" applyNumberFormat="1" applyFont="1" applyFill="1" applyBorder="1" applyAlignment="1" applyProtection="1">
      <alignment horizontal="center" vertical="center"/>
      <protection/>
    </xf>
    <xf numFmtId="49" fontId="8" fillId="34" borderId="30" xfId="60" applyNumberFormat="1" applyFont="1" applyFill="1" applyBorder="1" applyAlignment="1" applyProtection="1" quotePrefix="1">
      <alignment horizontal="center" vertical="center"/>
      <protection/>
    </xf>
    <xf numFmtId="49" fontId="24" fillId="34" borderId="30" xfId="60" applyNumberFormat="1" applyFont="1" applyFill="1" applyBorder="1" applyAlignment="1" applyProtection="1">
      <alignment horizontal="center" vertical="center"/>
      <protection/>
    </xf>
    <xf numFmtId="37" fontId="24" fillId="34" borderId="30" xfId="60" applyFont="1" applyFill="1" applyBorder="1" applyAlignment="1" applyProtection="1">
      <alignment vertical="center" wrapText="1"/>
      <protection/>
    </xf>
    <xf numFmtId="37" fontId="24" fillId="34" borderId="29" xfId="60" applyFont="1" applyFill="1" applyBorder="1" applyAlignment="1" applyProtection="1">
      <alignment vertical="center"/>
      <protection/>
    </xf>
    <xf numFmtId="37" fontId="24" fillId="34" borderId="30" xfId="60" applyFont="1" applyFill="1" applyBorder="1" applyAlignment="1" applyProtection="1">
      <alignment vertical="center"/>
      <protection/>
    </xf>
    <xf numFmtId="37" fontId="24" fillId="34" borderId="31" xfId="60" applyFont="1" applyFill="1" applyBorder="1" applyAlignment="1" applyProtection="1">
      <alignment vertical="center"/>
      <protection/>
    </xf>
    <xf numFmtId="37" fontId="24" fillId="34" borderId="30" xfId="60" applyFont="1" applyFill="1" applyBorder="1" applyAlignment="1" applyProtection="1">
      <alignment vertical="center"/>
      <protection locked="0"/>
    </xf>
    <xf numFmtId="37" fontId="24" fillId="35" borderId="29" xfId="60" applyFont="1" applyFill="1" applyBorder="1" applyAlignment="1" applyProtection="1">
      <alignment vertical="center"/>
      <protection/>
    </xf>
    <xf numFmtId="37" fontId="24" fillId="35" borderId="83" xfId="60" applyFont="1" applyFill="1" applyBorder="1" applyAlignment="1" applyProtection="1">
      <alignment vertical="center"/>
      <protection/>
    </xf>
    <xf numFmtId="37" fontId="24" fillId="35" borderId="31" xfId="60" applyFont="1" applyFill="1" applyBorder="1" applyAlignment="1" applyProtection="1">
      <alignment vertical="center"/>
      <protection/>
    </xf>
    <xf numFmtId="37" fontId="23" fillId="0" borderId="45" xfId="60" applyFont="1" applyFill="1" applyBorder="1" applyAlignment="1" applyProtection="1">
      <alignment vertical="center"/>
      <protection/>
    </xf>
    <xf numFmtId="37" fontId="24" fillId="34" borderId="60" xfId="60" applyFont="1" applyFill="1" applyBorder="1" applyAlignment="1" applyProtection="1">
      <alignment vertical="center"/>
      <protection/>
    </xf>
    <xf numFmtId="37" fontId="7" fillId="38" borderId="15" xfId="60" applyFont="1" applyFill="1" applyBorder="1" applyAlignment="1" applyProtection="1">
      <alignment vertical="center"/>
      <protection/>
    </xf>
    <xf numFmtId="37" fontId="7" fillId="38" borderId="16" xfId="60" applyFont="1" applyFill="1" applyBorder="1" applyAlignment="1" applyProtection="1">
      <alignment vertical="center"/>
      <protection/>
    </xf>
    <xf numFmtId="37" fontId="9" fillId="35" borderId="41" xfId="60" applyFont="1" applyFill="1" applyBorder="1" applyAlignment="1" applyProtection="1">
      <alignment vertical="center"/>
      <protection/>
    </xf>
    <xf numFmtId="37" fontId="9" fillId="34" borderId="84" xfId="60" applyFont="1" applyFill="1" applyBorder="1" applyAlignment="1" applyProtection="1">
      <alignment vertical="center"/>
      <protection/>
    </xf>
    <xf numFmtId="37" fontId="7" fillId="0" borderId="60" xfId="60" applyFont="1" applyFill="1" applyBorder="1" applyAlignment="1" applyProtection="1">
      <alignment vertical="center"/>
      <protection/>
    </xf>
    <xf numFmtId="37" fontId="7" fillId="0" borderId="82" xfId="60" applyFont="1" applyFill="1" applyBorder="1" applyAlignment="1" applyProtection="1">
      <alignment vertical="center"/>
      <protection/>
    </xf>
    <xf numFmtId="37" fontId="9" fillId="35" borderId="85" xfId="60" applyFont="1" applyFill="1" applyBorder="1" applyAlignment="1" applyProtection="1">
      <alignment vertical="center"/>
      <protection/>
    </xf>
    <xf numFmtId="37" fontId="9" fillId="34" borderId="86" xfId="60" applyFont="1" applyFill="1" applyBorder="1" applyAlignment="1" applyProtection="1">
      <alignment vertical="center"/>
      <protection/>
    </xf>
    <xf numFmtId="37" fontId="9" fillId="34" borderId="87" xfId="60" applyFont="1" applyFill="1" applyBorder="1" applyAlignment="1" applyProtection="1">
      <alignment vertical="center"/>
      <protection/>
    </xf>
    <xf numFmtId="37" fontId="9" fillId="34" borderId="55" xfId="60" applyFont="1" applyFill="1" applyBorder="1" applyAlignment="1" applyProtection="1">
      <alignment vertical="center"/>
      <protection/>
    </xf>
    <xf numFmtId="37" fontId="9" fillId="34" borderId="81" xfId="60" applyFont="1" applyFill="1" applyBorder="1" applyAlignment="1" applyProtection="1">
      <alignment vertical="center"/>
      <protection/>
    </xf>
    <xf numFmtId="37" fontId="7" fillId="38" borderId="0" xfId="60" applyFont="1" applyFill="1" applyBorder="1" applyAlignment="1" applyProtection="1">
      <alignment vertical="center"/>
      <protection/>
    </xf>
    <xf numFmtId="37" fontId="7" fillId="0" borderId="13" xfId="60" applyFont="1" applyFill="1" applyBorder="1" applyAlignment="1" applyProtection="1">
      <alignment vertical="center"/>
      <protection/>
    </xf>
    <xf numFmtId="37" fontId="7" fillId="38" borderId="87" xfId="60" applyFont="1" applyFill="1" applyBorder="1" applyAlignment="1" applyProtection="1">
      <alignment vertical="center"/>
      <protection/>
    </xf>
    <xf numFmtId="37" fontId="7" fillId="0" borderId="87" xfId="60" applyFont="1" applyFill="1" applyBorder="1" applyAlignment="1" applyProtection="1">
      <alignment vertical="center"/>
      <protection/>
    </xf>
    <xf numFmtId="37" fontId="7" fillId="0" borderId="55" xfId="60" applyFont="1" applyFill="1" applyBorder="1" applyAlignment="1" applyProtection="1">
      <alignment vertical="center"/>
      <protection/>
    </xf>
    <xf numFmtId="37" fontId="7" fillId="0" borderId="77" xfId="60" applyFont="1" applyFill="1" applyBorder="1" applyAlignment="1" applyProtection="1">
      <alignment vertical="center"/>
      <protection/>
    </xf>
    <xf numFmtId="37" fontId="7" fillId="0" borderId="12" xfId="60" applyFont="1" applyFill="1" applyBorder="1" applyAlignment="1" applyProtection="1">
      <alignment vertical="center"/>
      <protection/>
    </xf>
    <xf numFmtId="37" fontId="9" fillId="35" borderId="88" xfId="60" applyFont="1" applyFill="1" applyBorder="1" applyAlignment="1" applyProtection="1">
      <alignment vertical="center"/>
      <protection/>
    </xf>
    <xf numFmtId="37" fontId="9" fillId="34" borderId="80" xfId="60" applyFont="1" applyFill="1" applyBorder="1" applyAlignment="1" applyProtection="1">
      <alignment vertical="center"/>
      <protection/>
    </xf>
    <xf numFmtId="37" fontId="9" fillId="34" borderId="46" xfId="60" applyFont="1" applyFill="1" applyBorder="1" applyAlignment="1" applyProtection="1">
      <alignment vertical="center"/>
      <protection/>
    </xf>
    <xf numFmtId="37" fontId="9" fillId="34" borderId="14" xfId="60" applyFont="1" applyFill="1" applyBorder="1" applyAlignment="1" applyProtection="1">
      <alignment vertical="center"/>
      <protection/>
    </xf>
    <xf numFmtId="37" fontId="7" fillId="0" borderId="17" xfId="60" applyFont="1" applyFill="1" applyBorder="1" applyAlignment="1" applyProtection="1">
      <alignment vertical="center"/>
      <protection/>
    </xf>
    <xf numFmtId="37" fontId="7" fillId="0" borderId="19" xfId="60" applyFont="1" applyFill="1" applyBorder="1" applyAlignment="1" applyProtection="1">
      <alignment vertical="center"/>
      <protection/>
    </xf>
    <xf numFmtId="37" fontId="7" fillId="38" borderId="16" xfId="60" applyFont="1" applyFill="1" applyBorder="1" applyAlignment="1" applyProtection="1">
      <alignment vertical="center"/>
      <protection locked="0"/>
    </xf>
    <xf numFmtId="37" fontId="7" fillId="38" borderId="17" xfId="60" applyFont="1" applyFill="1" applyBorder="1" applyAlignment="1" applyProtection="1">
      <alignment vertical="center"/>
      <protection/>
    </xf>
    <xf numFmtId="37" fontId="7" fillId="38" borderId="77" xfId="60" applyFont="1" applyFill="1" applyBorder="1" applyAlignment="1" applyProtection="1">
      <alignment vertical="center"/>
      <protection/>
    </xf>
    <xf numFmtId="37" fontId="7" fillId="0" borderId="40" xfId="60" applyFont="1" applyFill="1" applyBorder="1" applyAlignment="1" applyProtection="1">
      <alignment vertical="center"/>
      <protection/>
    </xf>
    <xf numFmtId="37" fontId="7" fillId="33" borderId="46" xfId="60" applyFont="1" applyFill="1" applyBorder="1" applyAlignment="1" applyProtection="1">
      <alignment vertical="center" wrapText="1"/>
      <protection/>
    </xf>
    <xf numFmtId="37" fontId="9" fillId="34" borderId="78" xfId="60" applyFont="1" applyFill="1" applyBorder="1" applyAlignment="1" applyProtection="1">
      <alignment vertical="center"/>
      <protection/>
    </xf>
    <xf numFmtId="37" fontId="7" fillId="35" borderId="47" xfId="60" applyFont="1" applyFill="1" applyBorder="1" applyAlignment="1" applyProtection="1">
      <alignment vertical="center"/>
      <protection/>
    </xf>
    <xf numFmtId="37" fontId="7" fillId="35" borderId="40" xfId="60" applyFont="1" applyFill="1" applyBorder="1" applyAlignment="1" applyProtection="1">
      <alignment vertical="center"/>
      <protection/>
    </xf>
    <xf numFmtId="37" fontId="11" fillId="36" borderId="34" xfId="60" applyFont="1" applyFill="1" applyBorder="1" applyAlignment="1" applyProtection="1">
      <alignment horizontal="center" vertical="center" wrapText="1"/>
      <protection/>
    </xf>
    <xf numFmtId="37" fontId="11" fillId="36" borderId="33" xfId="60" applyFont="1" applyFill="1" applyBorder="1" applyAlignment="1" applyProtection="1">
      <alignment horizontal="centerContinuous" vertical="center"/>
      <protection/>
    </xf>
    <xf numFmtId="37" fontId="11" fillId="36" borderId="17" xfId="60" applyFont="1" applyFill="1" applyBorder="1" applyAlignment="1" applyProtection="1">
      <alignment horizontal="center" vertical="center" wrapText="1"/>
      <protection/>
    </xf>
    <xf numFmtId="37" fontId="11" fillId="36" borderId="60" xfId="60" applyFont="1" applyFill="1" applyBorder="1" applyAlignment="1" applyProtection="1">
      <alignment horizontal="centerContinuous" vertical="center"/>
      <protection/>
    </xf>
    <xf numFmtId="49" fontId="11" fillId="36" borderId="19" xfId="60" applyNumberFormat="1" applyFont="1" applyFill="1" applyBorder="1" applyAlignment="1" applyProtection="1">
      <alignment horizontal="center" vertical="center" wrapText="1"/>
      <protection/>
    </xf>
    <xf numFmtId="37" fontId="9" fillId="35" borderId="69" xfId="62" applyFont="1" applyFill="1" applyBorder="1" applyAlignment="1" applyProtection="1">
      <alignment vertical="center"/>
      <protection locked="0"/>
    </xf>
    <xf numFmtId="37" fontId="9" fillId="35" borderId="61" xfId="62" applyFont="1" applyFill="1" applyBorder="1" applyAlignment="1" applyProtection="1">
      <alignment vertical="center"/>
      <protection locked="0"/>
    </xf>
    <xf numFmtId="37" fontId="23" fillId="0" borderId="30" xfId="60" applyFont="1" applyFill="1" applyBorder="1" applyAlignment="1" applyProtection="1">
      <alignment vertical="center"/>
      <protection/>
    </xf>
    <xf numFmtId="37" fontId="23" fillId="0" borderId="30" xfId="60" applyFont="1" applyFill="1" applyBorder="1" applyAlignment="1" applyProtection="1">
      <alignment vertical="center"/>
      <protection locked="0"/>
    </xf>
    <xf numFmtId="37" fontId="23" fillId="0" borderId="29" xfId="60" applyFont="1" applyFill="1" applyBorder="1" applyAlignment="1" applyProtection="1">
      <alignment vertical="center"/>
      <protection/>
    </xf>
    <xf numFmtId="37" fontId="7" fillId="0" borderId="59" xfId="62" applyFont="1" applyFill="1" applyBorder="1" applyAlignment="1" applyProtection="1">
      <alignment vertical="center"/>
      <protection locked="0"/>
    </xf>
    <xf numFmtId="37" fontId="7" fillId="0" borderId="30" xfId="62" applyFont="1" applyFill="1" applyBorder="1" applyAlignment="1" applyProtection="1">
      <alignment vertical="center"/>
      <protection locked="0"/>
    </xf>
    <xf numFmtId="37" fontId="7" fillId="0" borderId="89" xfId="62" applyFont="1" applyFill="1" applyBorder="1" applyAlignment="1" applyProtection="1">
      <alignment vertical="center"/>
      <protection locked="0"/>
    </xf>
    <xf numFmtId="37" fontId="7" fillId="0" borderId="90" xfId="62" applyFont="1" applyFill="1" applyBorder="1" applyAlignment="1" applyProtection="1">
      <alignment vertical="center"/>
      <protection locked="0"/>
    </xf>
    <xf numFmtId="37" fontId="7" fillId="0" borderId="91" xfId="62" applyFont="1" applyFill="1" applyBorder="1" applyAlignment="1" applyProtection="1">
      <alignment vertical="center"/>
      <protection locked="0"/>
    </xf>
    <xf numFmtId="37" fontId="7" fillId="0" borderId="92" xfId="62" applyFont="1" applyFill="1" applyBorder="1" applyAlignment="1" applyProtection="1">
      <alignment vertical="center"/>
      <protection locked="0"/>
    </xf>
    <xf numFmtId="37" fontId="7" fillId="0" borderId="78" xfId="62" applyFont="1" applyFill="1" applyBorder="1" applyAlignment="1" applyProtection="1">
      <alignment vertical="center"/>
      <protection locked="0"/>
    </xf>
    <xf numFmtId="37" fontId="7" fillId="0" borderId="93" xfId="62" applyFont="1" applyFill="1" applyBorder="1" applyAlignment="1" applyProtection="1">
      <alignment vertical="center"/>
      <protection locked="0"/>
    </xf>
    <xf numFmtId="37" fontId="7" fillId="0" borderId="56" xfId="62" applyFont="1" applyFill="1" applyBorder="1" applyAlignment="1" applyProtection="1">
      <alignment vertical="center"/>
      <protection locked="0"/>
    </xf>
    <xf numFmtId="37" fontId="9" fillId="34" borderId="21" xfId="62" applyFont="1" applyFill="1" applyBorder="1" applyAlignment="1" applyProtection="1">
      <alignment vertical="center"/>
      <protection locked="0"/>
    </xf>
    <xf numFmtId="37" fontId="7" fillId="0" borderId="94" xfId="62" applyFont="1" applyFill="1" applyBorder="1" applyAlignment="1" applyProtection="1">
      <alignment vertical="center"/>
      <protection locked="0"/>
    </xf>
    <xf numFmtId="37" fontId="9" fillId="34" borderId="0" xfId="62" applyFont="1" applyFill="1" applyBorder="1" applyAlignment="1" applyProtection="1">
      <alignment vertical="center"/>
      <protection locked="0"/>
    </xf>
    <xf numFmtId="37" fontId="9" fillId="34" borderId="95" xfId="62" applyFont="1" applyFill="1" applyBorder="1" applyAlignment="1" applyProtection="1">
      <alignment vertical="center"/>
      <protection/>
    </xf>
    <xf numFmtId="37" fontId="9" fillId="34" borderId="60" xfId="62" applyFont="1" applyFill="1" applyBorder="1" applyAlignment="1" applyProtection="1">
      <alignment vertical="center"/>
      <protection locked="0"/>
    </xf>
    <xf numFmtId="37" fontId="7" fillId="0" borderId="96" xfId="62" applyFont="1" applyFill="1" applyBorder="1" applyAlignment="1" applyProtection="1">
      <alignment vertical="center"/>
      <protection locked="0"/>
    </xf>
    <xf numFmtId="37" fontId="7" fillId="0" borderId="16" xfId="62" applyFont="1" applyFill="1" applyBorder="1" applyAlignment="1" applyProtection="1">
      <alignment vertical="center"/>
      <protection locked="0"/>
    </xf>
    <xf numFmtId="37" fontId="9" fillId="34" borderId="95" xfId="62" applyFont="1" applyFill="1" applyBorder="1" applyAlignment="1" applyProtection="1">
      <alignment vertical="center"/>
      <protection locked="0"/>
    </xf>
    <xf numFmtId="37" fontId="0" fillId="0" borderId="0" xfId="62" applyFont="1" applyBorder="1" applyAlignment="1" applyProtection="1">
      <alignment horizontal="center" vertical="center"/>
      <protection/>
    </xf>
    <xf numFmtId="37" fontId="0" fillId="0" borderId="0" xfId="62" applyFont="1" applyBorder="1" applyAlignment="1" applyProtection="1">
      <alignment horizontal="left" vertical="center"/>
      <protection/>
    </xf>
    <xf numFmtId="37" fontId="0" fillId="0" borderId="97" xfId="60" applyFont="1" applyFill="1" applyBorder="1" applyAlignment="1" applyProtection="1">
      <alignment horizontal="left" vertical="center"/>
      <protection/>
    </xf>
    <xf numFmtId="37" fontId="0" fillId="0" borderId="13" xfId="62" applyFont="1" applyBorder="1" applyAlignment="1" applyProtection="1" quotePrefix="1">
      <alignment horizontal="center" vertical="center"/>
      <protection/>
    </xf>
    <xf numFmtId="37" fontId="0" fillId="0" borderId="13" xfId="62" applyFont="1" applyBorder="1" applyAlignment="1" applyProtection="1">
      <alignment horizontal="left" vertical="center"/>
      <protection/>
    </xf>
    <xf numFmtId="37" fontId="0" fillId="0" borderId="84" xfId="60" applyFont="1" applyFill="1" applyBorder="1" applyAlignment="1" applyProtection="1">
      <alignment horizontal="left" vertical="center"/>
      <protection/>
    </xf>
    <xf numFmtId="37" fontId="0" fillId="0" borderId="80" xfId="60" applyFont="1" applyFill="1" applyBorder="1" applyAlignment="1" applyProtection="1">
      <alignment horizontal="left" vertical="center"/>
      <protection/>
    </xf>
    <xf numFmtId="37" fontId="0" fillId="0" borderId="81" xfId="62" applyFont="1" applyBorder="1" applyAlignment="1" applyProtection="1">
      <alignment horizontal="center" vertical="center"/>
      <protection/>
    </xf>
    <xf numFmtId="37" fontId="0" fillId="0" borderId="81" xfId="62" applyFont="1" applyBorder="1" applyAlignment="1" applyProtection="1">
      <alignment horizontal="left" vertical="center"/>
      <protection/>
    </xf>
    <xf numFmtId="37" fontId="0" fillId="0" borderId="80" xfId="62" applyFont="1" applyBorder="1" applyAlignment="1" applyProtection="1">
      <alignment horizontal="left" vertical="center"/>
      <protection/>
    </xf>
    <xf numFmtId="37" fontId="7" fillId="0" borderId="98" xfId="60" applyFont="1" applyFill="1" applyBorder="1" applyAlignment="1" applyProtection="1">
      <alignment horizontal="right" vertical="center"/>
      <protection/>
    </xf>
    <xf numFmtId="37" fontId="0" fillId="0" borderId="80" xfId="62" applyFont="1" applyBorder="1" applyAlignment="1" applyProtection="1">
      <alignment horizontal="center" vertical="center"/>
      <protection/>
    </xf>
    <xf numFmtId="37" fontId="9" fillId="34" borderId="84" xfId="61" applyFont="1" applyFill="1" applyBorder="1" applyAlignment="1" applyProtection="1">
      <alignment horizontal="centerContinuous" vertical="center"/>
      <protection locked="0"/>
    </xf>
    <xf numFmtId="37" fontId="9" fillId="34" borderId="98" xfId="61" applyFont="1" applyFill="1" applyBorder="1" applyAlignment="1" applyProtection="1">
      <alignment horizontal="centerContinuous" vertical="center"/>
      <protection locked="0"/>
    </xf>
    <xf numFmtId="37" fontId="23" fillId="0" borderId="16" xfId="60" applyFont="1" applyFill="1" applyBorder="1" applyAlignment="1" applyProtection="1">
      <alignment horizontal="left" vertical="center" wrapText="1"/>
      <protection/>
    </xf>
    <xf numFmtId="37" fontId="23" fillId="0" borderId="18" xfId="60" applyFont="1" applyFill="1" applyBorder="1" applyAlignment="1" applyProtection="1">
      <alignment horizontal="left" vertical="center" wrapText="1"/>
      <protection/>
    </xf>
    <xf numFmtId="37" fontId="23" fillId="33" borderId="11" xfId="62" applyFont="1" applyFill="1" applyBorder="1" applyAlignment="1" applyProtection="1">
      <alignment horizontal="center" vertical="center"/>
      <protection locked="0"/>
    </xf>
    <xf numFmtId="49" fontId="23" fillId="38" borderId="16" xfId="60" applyNumberFormat="1" applyFont="1" applyFill="1" applyBorder="1" applyAlignment="1" applyProtection="1">
      <alignment horizontal="center" vertical="center"/>
      <protection/>
    </xf>
    <xf numFmtId="37" fontId="9" fillId="0" borderId="26" xfId="60" applyFont="1" applyFill="1" applyBorder="1" applyAlignment="1" applyProtection="1">
      <alignment horizontal="center" vertical="center"/>
      <protection/>
    </xf>
    <xf numFmtId="37" fontId="9" fillId="34" borderId="24" xfId="61" applyFont="1" applyFill="1" applyBorder="1" applyAlignment="1" applyProtection="1">
      <alignment horizontal="center" vertical="center"/>
      <protection locked="0"/>
    </xf>
    <xf numFmtId="37" fontId="9" fillId="34" borderId="26" xfId="61" applyFont="1" applyFill="1" applyBorder="1" applyAlignment="1" applyProtection="1">
      <alignment horizontal="center" vertical="center"/>
      <protection locked="0"/>
    </xf>
    <xf numFmtId="188" fontId="9" fillId="34" borderId="12" xfId="61" applyNumberFormat="1" applyFont="1" applyFill="1" applyBorder="1" applyAlignment="1" applyProtection="1">
      <alignment horizontal="center" vertical="center"/>
      <protection locked="0"/>
    </xf>
    <xf numFmtId="188" fontId="9" fillId="34" borderId="14" xfId="61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rmal_GASTOS" xfId="60"/>
    <cellStyle name="Normal_INGRESOS" xfId="61"/>
    <cellStyle name="Normal_PAC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104775</xdr:rowOff>
    </xdr:from>
    <xdr:to>
      <xdr:col>1</xdr:col>
      <xdr:colOff>2552700</xdr:colOff>
      <xdr:row>1</xdr:row>
      <xdr:rowOff>200025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25622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123825</xdr:rowOff>
    </xdr:from>
    <xdr:to>
      <xdr:col>5</xdr:col>
      <xdr:colOff>200025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20002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6</xdr:col>
      <xdr:colOff>142875</xdr:colOff>
      <xdr:row>2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20859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95250</xdr:rowOff>
    </xdr:from>
    <xdr:to>
      <xdr:col>6</xdr:col>
      <xdr:colOff>2428875</xdr:colOff>
      <xdr:row>1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0"/>
          <a:ext cx="372427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76200</xdr:rowOff>
    </xdr:from>
    <xdr:to>
      <xdr:col>6</xdr:col>
      <xdr:colOff>2124075</xdr:colOff>
      <xdr:row>1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76200"/>
          <a:ext cx="364807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95250</xdr:rowOff>
    </xdr:from>
    <xdr:to>
      <xdr:col>0</xdr:col>
      <xdr:colOff>552450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4953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847725</xdr:colOff>
      <xdr:row>6</xdr:row>
      <xdr:rowOff>0</xdr:rowOff>
    </xdr:from>
    <xdr:to>
      <xdr:col>4</xdr:col>
      <xdr:colOff>9525</xdr:colOff>
      <xdr:row>7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1019175"/>
          <a:ext cx="7810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rmtc4xx\Mis%20documentos\Mis%20Documentos\Contralor&#237;a\Contralor&#237;a%20Rendici&#243;n%20Cuentas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GASTOS"/>
      <sheetName val="PAC"/>
      <sheetName val="Reservas Presupuestales"/>
      <sheetName val="Cuentas por Pagar"/>
      <sheetName val="VIGILANCIA FISC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34"/>
  <sheetViews>
    <sheetView zoomScalePageLayoutView="0" workbookViewId="0" topLeftCell="A1">
      <pane xSplit="3" ySplit="1" topLeftCell="H2" activePane="bottomRight" state="frozen"/>
      <selection pane="topLeft" activeCell="X12" sqref="X12"/>
      <selection pane="topRight" activeCell="X12" sqref="X12"/>
      <selection pane="bottomLeft" activeCell="X12" sqref="X12"/>
      <selection pane="bottomRight" activeCell="Y2" sqref="Y2"/>
    </sheetView>
  </sheetViews>
  <sheetFormatPr defaultColWidth="16.7109375" defaultRowHeight="12.75"/>
  <cols>
    <col min="1" max="1" width="5.7109375" style="3" customWidth="1"/>
    <col min="2" max="2" width="45.28125" style="3" customWidth="1"/>
    <col min="3" max="3" width="7.8515625" style="3" customWidth="1"/>
    <col min="4" max="7" width="17.7109375" style="3" hidden="1" customWidth="1"/>
    <col min="8" max="11" width="17.7109375" style="3" customWidth="1"/>
    <col min="12" max="17" width="17.7109375" style="3" hidden="1" customWidth="1"/>
    <col min="18" max="18" width="16.57421875" style="3" hidden="1" customWidth="1"/>
    <col min="19" max="22" width="17.7109375" style="3" hidden="1" customWidth="1"/>
    <col min="23" max="23" width="16.57421875" style="3" hidden="1" customWidth="1"/>
    <col min="24" max="24" width="19.57421875" style="3" customWidth="1"/>
    <col min="25" max="25" width="17.7109375" style="3" customWidth="1"/>
    <col min="26" max="16384" width="16.7109375" style="3" customWidth="1"/>
  </cols>
  <sheetData>
    <row r="1" spans="1:25" ht="24" customHeight="1">
      <c r="A1" s="27"/>
      <c r="B1" s="28"/>
      <c r="C1" s="29"/>
      <c r="D1" s="30" t="s">
        <v>0</v>
      </c>
      <c r="E1" s="31" t="s">
        <v>1</v>
      </c>
      <c r="F1" s="32"/>
      <c r="G1" s="33" t="s">
        <v>2</v>
      </c>
      <c r="H1" s="58" t="s">
        <v>0</v>
      </c>
      <c r="I1" s="59" t="s">
        <v>1</v>
      </c>
      <c r="J1" s="60"/>
      <c r="K1" s="86" t="s">
        <v>2</v>
      </c>
      <c r="L1" s="88" t="s">
        <v>3</v>
      </c>
      <c r="M1" s="89" t="s">
        <v>4</v>
      </c>
      <c r="N1" s="89" t="s">
        <v>5</v>
      </c>
      <c r="O1" s="89" t="s">
        <v>6</v>
      </c>
      <c r="P1" s="89" t="s">
        <v>7</v>
      </c>
      <c r="Q1" s="89" t="s">
        <v>8</v>
      </c>
      <c r="R1" s="89" t="s">
        <v>9</v>
      </c>
      <c r="S1" s="89" t="s">
        <v>10</v>
      </c>
      <c r="T1" s="89" t="s">
        <v>11</v>
      </c>
      <c r="U1" s="89" t="s">
        <v>12</v>
      </c>
      <c r="V1" s="89" t="s">
        <v>13</v>
      </c>
      <c r="W1" s="89" t="s">
        <v>14</v>
      </c>
      <c r="X1" s="246" t="s">
        <v>15</v>
      </c>
      <c r="Y1" s="248" t="s">
        <v>16</v>
      </c>
    </row>
    <row r="2" spans="1:25" ht="24" customHeight="1" thickBot="1">
      <c r="A2" s="4"/>
      <c r="B2" s="5"/>
      <c r="C2" s="6"/>
      <c r="D2" s="7" t="s">
        <v>17</v>
      </c>
      <c r="E2" s="8" t="s">
        <v>252</v>
      </c>
      <c r="F2" s="9"/>
      <c r="G2" s="18" t="s">
        <v>18</v>
      </c>
      <c r="H2" s="61" t="s">
        <v>17</v>
      </c>
      <c r="I2" s="62" t="s">
        <v>288</v>
      </c>
      <c r="J2" s="63"/>
      <c r="K2" s="87" t="s">
        <v>18</v>
      </c>
      <c r="L2" s="90" t="s">
        <v>259</v>
      </c>
      <c r="M2" s="90" t="s">
        <v>259</v>
      </c>
      <c r="N2" s="90" t="s">
        <v>259</v>
      </c>
      <c r="O2" s="90" t="s">
        <v>259</v>
      </c>
      <c r="P2" s="90" t="s">
        <v>259</v>
      </c>
      <c r="Q2" s="90" t="s">
        <v>259</v>
      </c>
      <c r="R2" s="90" t="s">
        <v>259</v>
      </c>
      <c r="S2" s="90" t="s">
        <v>259</v>
      </c>
      <c r="T2" s="90" t="s">
        <v>259</v>
      </c>
      <c r="U2" s="90" t="s">
        <v>259</v>
      </c>
      <c r="V2" s="90" t="s">
        <v>259</v>
      </c>
      <c r="W2" s="90" t="s">
        <v>259</v>
      </c>
      <c r="X2" s="247" t="s">
        <v>259</v>
      </c>
      <c r="Y2" s="249">
        <f ca="1">TODAY()</f>
        <v>41229</v>
      </c>
    </row>
    <row r="3" spans="1:25" ht="13.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3.5" thickBot="1">
      <c r="A4" s="44"/>
      <c r="B4" s="45"/>
      <c r="C4" s="65"/>
      <c r="D4" s="68" t="s">
        <v>19</v>
      </c>
      <c r="E4" s="64" t="s">
        <v>20</v>
      </c>
      <c r="F4" s="64"/>
      <c r="G4" s="47" t="s">
        <v>19</v>
      </c>
      <c r="H4" s="68" t="s">
        <v>19</v>
      </c>
      <c r="I4" s="64" t="s">
        <v>20</v>
      </c>
      <c r="J4" s="64"/>
      <c r="K4" s="47" t="s">
        <v>19</v>
      </c>
      <c r="L4" s="68" t="s">
        <v>21</v>
      </c>
      <c r="M4" s="46" t="s">
        <v>21</v>
      </c>
      <c r="N4" s="46" t="s">
        <v>21</v>
      </c>
      <c r="O4" s="46" t="s">
        <v>21</v>
      </c>
      <c r="P4" s="46" t="s">
        <v>21</v>
      </c>
      <c r="Q4" s="46" t="s">
        <v>21</v>
      </c>
      <c r="R4" s="46" t="s">
        <v>21</v>
      </c>
      <c r="S4" s="46" t="s">
        <v>21</v>
      </c>
      <c r="T4" s="46" t="s">
        <v>21</v>
      </c>
      <c r="U4" s="46" t="s">
        <v>21</v>
      </c>
      <c r="V4" s="46" t="s">
        <v>21</v>
      </c>
      <c r="W4" s="46" t="s">
        <v>21</v>
      </c>
      <c r="X4" s="47" t="s">
        <v>22</v>
      </c>
      <c r="Y4" s="47" t="s">
        <v>23</v>
      </c>
    </row>
    <row r="5" spans="1:25" ht="12.75">
      <c r="A5" s="48" t="s">
        <v>24</v>
      </c>
      <c r="B5" s="49" t="s">
        <v>25</v>
      </c>
      <c r="C5" s="66" t="s">
        <v>26</v>
      </c>
      <c r="D5" s="48" t="s">
        <v>27</v>
      </c>
      <c r="E5" s="49" t="s">
        <v>28</v>
      </c>
      <c r="F5" s="49" t="s">
        <v>29</v>
      </c>
      <c r="G5" s="69" t="s">
        <v>30</v>
      </c>
      <c r="H5" s="48" t="s">
        <v>27</v>
      </c>
      <c r="I5" s="49" t="s">
        <v>28</v>
      </c>
      <c r="J5" s="49" t="s">
        <v>29</v>
      </c>
      <c r="K5" s="69" t="s">
        <v>30</v>
      </c>
      <c r="L5" s="48" t="s">
        <v>3</v>
      </c>
      <c r="M5" s="49" t="s">
        <v>4</v>
      </c>
      <c r="N5" s="49" t="s">
        <v>5</v>
      </c>
      <c r="O5" s="49" t="s">
        <v>6</v>
      </c>
      <c r="P5" s="49" t="s">
        <v>7</v>
      </c>
      <c r="Q5" s="49" t="s">
        <v>8</v>
      </c>
      <c r="R5" s="49" t="s">
        <v>9</v>
      </c>
      <c r="S5" s="49" t="s">
        <v>10</v>
      </c>
      <c r="T5" s="49" t="s">
        <v>11</v>
      </c>
      <c r="U5" s="49" t="s">
        <v>12</v>
      </c>
      <c r="V5" s="49" t="s">
        <v>13</v>
      </c>
      <c r="W5" s="49" t="s">
        <v>14</v>
      </c>
      <c r="X5" s="69" t="s">
        <v>31</v>
      </c>
      <c r="Y5" s="50"/>
    </row>
    <row r="6" spans="1:25" ht="13.5" thickBot="1">
      <c r="A6" s="51"/>
      <c r="B6" s="52"/>
      <c r="C6" s="67" t="s">
        <v>32</v>
      </c>
      <c r="D6" s="70" t="s">
        <v>33</v>
      </c>
      <c r="E6" s="53" t="s">
        <v>34</v>
      </c>
      <c r="F6" s="53" t="s">
        <v>35</v>
      </c>
      <c r="G6" s="54" t="s">
        <v>36</v>
      </c>
      <c r="H6" s="70" t="s">
        <v>33</v>
      </c>
      <c r="I6" s="53" t="s">
        <v>34</v>
      </c>
      <c r="J6" s="53" t="s">
        <v>35</v>
      </c>
      <c r="K6" s="54" t="s">
        <v>36</v>
      </c>
      <c r="L6" s="70" t="s">
        <v>37</v>
      </c>
      <c r="M6" s="53" t="s">
        <v>37</v>
      </c>
      <c r="N6" s="53" t="s">
        <v>37</v>
      </c>
      <c r="O6" s="53" t="s">
        <v>37</v>
      </c>
      <c r="P6" s="53" t="s">
        <v>37</v>
      </c>
      <c r="Q6" s="53" t="s">
        <v>37</v>
      </c>
      <c r="R6" s="53" t="s">
        <v>37</v>
      </c>
      <c r="S6" s="53" t="s">
        <v>37</v>
      </c>
      <c r="T6" s="53" t="s">
        <v>37</v>
      </c>
      <c r="U6" s="53" t="s">
        <v>37</v>
      </c>
      <c r="V6" s="53" t="s">
        <v>37</v>
      </c>
      <c r="W6" s="53" t="s">
        <v>37</v>
      </c>
      <c r="X6" s="54" t="s">
        <v>38</v>
      </c>
      <c r="Y6" s="54" t="s">
        <v>39</v>
      </c>
    </row>
    <row r="7" spans="1:25" ht="15" customHeight="1">
      <c r="A7" s="55" t="s">
        <v>40</v>
      </c>
      <c r="B7" s="56" t="s">
        <v>41</v>
      </c>
      <c r="C7" s="57"/>
      <c r="D7" s="71">
        <f>+D8+D21</f>
        <v>131271446845</v>
      </c>
      <c r="E7" s="56">
        <f aca="true" t="shared" si="0" ref="E7:S7">+E8+E21</f>
        <v>1760400000</v>
      </c>
      <c r="F7" s="56">
        <f t="shared" si="0"/>
        <v>-18581820</v>
      </c>
      <c r="G7" s="57">
        <f t="shared" si="0"/>
        <v>133013265025</v>
      </c>
      <c r="H7" s="71">
        <f t="shared" si="0"/>
        <v>131271446845</v>
      </c>
      <c r="I7" s="56">
        <f t="shared" si="0"/>
        <v>1760400000</v>
      </c>
      <c r="J7" s="56">
        <f t="shared" si="0"/>
        <v>-18581820</v>
      </c>
      <c r="K7" s="57">
        <f>+K8+K21</f>
        <v>133013265025</v>
      </c>
      <c r="L7" s="71">
        <f t="shared" si="0"/>
        <v>9376992938</v>
      </c>
      <c r="M7" s="56">
        <f t="shared" si="0"/>
        <v>9164405012</v>
      </c>
      <c r="N7" s="56">
        <f t="shared" si="0"/>
        <v>9888341725</v>
      </c>
      <c r="O7" s="56">
        <f t="shared" si="0"/>
        <v>9155792831</v>
      </c>
      <c r="P7" s="56">
        <f t="shared" si="0"/>
        <v>9940933256</v>
      </c>
      <c r="Q7" s="56">
        <f t="shared" si="0"/>
        <v>12262644499</v>
      </c>
      <c r="R7" s="56">
        <f t="shared" si="0"/>
        <v>11267982416</v>
      </c>
      <c r="S7" s="56">
        <f t="shared" si="0"/>
        <v>8664258007</v>
      </c>
      <c r="T7" s="56">
        <f aca="true" t="shared" si="1" ref="T7:Y7">+T8+T21</f>
        <v>9590445799</v>
      </c>
      <c r="U7" s="56">
        <f t="shared" si="1"/>
        <v>11441274536</v>
      </c>
      <c r="V7" s="56">
        <f t="shared" si="1"/>
        <v>12726356306</v>
      </c>
      <c r="W7" s="56">
        <f>+W8+W21</f>
        <v>18776376365</v>
      </c>
      <c r="X7" s="57">
        <f t="shared" si="1"/>
        <v>132255803690</v>
      </c>
      <c r="Y7" s="57">
        <f t="shared" si="1"/>
        <v>757461335</v>
      </c>
    </row>
    <row r="8" spans="1:25" ht="15" customHeight="1">
      <c r="A8" s="41" t="s">
        <v>42</v>
      </c>
      <c r="B8" s="42" t="s">
        <v>270</v>
      </c>
      <c r="C8" s="43"/>
      <c r="D8" s="72">
        <f>+D9+D12</f>
        <v>96989846845</v>
      </c>
      <c r="E8" s="42">
        <f aca="true" t="shared" si="2" ref="E8:S8">+E9+E12</f>
        <v>0</v>
      </c>
      <c r="F8" s="42">
        <f t="shared" si="2"/>
        <v>-18581820</v>
      </c>
      <c r="G8" s="73">
        <f t="shared" si="2"/>
        <v>96971265025</v>
      </c>
      <c r="H8" s="72">
        <f t="shared" si="2"/>
        <v>96989846845</v>
      </c>
      <c r="I8" s="42">
        <f t="shared" si="2"/>
        <v>0</v>
      </c>
      <c r="J8" s="42">
        <f t="shared" si="2"/>
        <v>-18581820</v>
      </c>
      <c r="K8" s="73">
        <f>+K9+K12</f>
        <v>96971265025</v>
      </c>
      <c r="L8" s="72">
        <f t="shared" si="2"/>
        <v>6636299991</v>
      </c>
      <c r="M8" s="42">
        <f t="shared" si="2"/>
        <v>6427132988</v>
      </c>
      <c r="N8" s="42">
        <f t="shared" si="2"/>
        <v>6921502908</v>
      </c>
      <c r="O8" s="42">
        <f t="shared" si="2"/>
        <v>6549773893</v>
      </c>
      <c r="P8" s="42">
        <f t="shared" si="2"/>
        <v>7133220941</v>
      </c>
      <c r="Q8" s="42">
        <f t="shared" si="2"/>
        <v>9312890667</v>
      </c>
      <c r="R8" s="42">
        <f t="shared" si="2"/>
        <v>7928077144</v>
      </c>
      <c r="S8" s="42">
        <f t="shared" si="2"/>
        <v>5765976436</v>
      </c>
      <c r="T8" s="42">
        <f aca="true" t="shared" si="3" ref="T8:Y8">+T9+T12</f>
        <v>6797287274</v>
      </c>
      <c r="U8" s="42">
        <f t="shared" si="3"/>
        <v>6898253961</v>
      </c>
      <c r="V8" s="42">
        <f t="shared" si="3"/>
        <v>7943852636</v>
      </c>
      <c r="W8" s="42">
        <f t="shared" si="3"/>
        <v>17855560606</v>
      </c>
      <c r="X8" s="73">
        <f t="shared" si="3"/>
        <v>96169829445</v>
      </c>
      <c r="Y8" s="43">
        <f t="shared" si="3"/>
        <v>801435580</v>
      </c>
    </row>
    <row r="9" spans="1:25" ht="15" customHeight="1">
      <c r="A9" s="11" t="s">
        <v>43</v>
      </c>
      <c r="B9" s="12" t="s">
        <v>44</v>
      </c>
      <c r="C9" s="13"/>
      <c r="D9" s="74">
        <f>SUM(D10:D11)</f>
        <v>0</v>
      </c>
      <c r="E9" s="12">
        <f aca="true" t="shared" si="4" ref="E9:S9">SUM(E10:E11)</f>
        <v>0</v>
      </c>
      <c r="F9" s="12">
        <f t="shared" si="4"/>
        <v>0</v>
      </c>
      <c r="G9" s="75">
        <f t="shared" si="4"/>
        <v>0</v>
      </c>
      <c r="H9" s="74">
        <f t="shared" si="4"/>
        <v>0</v>
      </c>
      <c r="I9" s="12">
        <f t="shared" si="4"/>
        <v>0</v>
      </c>
      <c r="J9" s="12">
        <f t="shared" si="4"/>
        <v>0</v>
      </c>
      <c r="K9" s="75">
        <f>SUM(K10:K11)</f>
        <v>0</v>
      </c>
      <c r="L9" s="74">
        <f t="shared" si="4"/>
        <v>0</v>
      </c>
      <c r="M9" s="12">
        <f t="shared" si="4"/>
        <v>0</v>
      </c>
      <c r="N9" s="12">
        <f t="shared" si="4"/>
        <v>0</v>
      </c>
      <c r="O9" s="12">
        <f t="shared" si="4"/>
        <v>0</v>
      </c>
      <c r="P9" s="12">
        <f t="shared" si="4"/>
        <v>0</v>
      </c>
      <c r="Q9" s="12">
        <f t="shared" si="4"/>
        <v>0</v>
      </c>
      <c r="R9" s="12">
        <f t="shared" si="4"/>
        <v>0</v>
      </c>
      <c r="S9" s="12">
        <f t="shared" si="4"/>
        <v>0</v>
      </c>
      <c r="T9" s="12">
        <f aca="true" t="shared" si="5" ref="T9:Y9">SUM(T10:T11)</f>
        <v>0</v>
      </c>
      <c r="U9" s="12">
        <f t="shared" si="5"/>
        <v>0</v>
      </c>
      <c r="V9" s="12">
        <f t="shared" si="5"/>
        <v>0</v>
      </c>
      <c r="W9" s="12">
        <f t="shared" si="5"/>
        <v>0</v>
      </c>
      <c r="X9" s="82">
        <f t="shared" si="5"/>
        <v>0</v>
      </c>
      <c r="Y9" s="13">
        <f t="shared" si="5"/>
        <v>0</v>
      </c>
    </row>
    <row r="10" spans="1:25" ht="15" customHeight="1">
      <c r="A10" s="11" t="s">
        <v>45</v>
      </c>
      <c r="B10" s="12" t="s">
        <v>46</v>
      </c>
      <c r="C10" s="13"/>
      <c r="D10" s="76">
        <v>0</v>
      </c>
      <c r="E10" s="14">
        <v>0</v>
      </c>
      <c r="F10" s="14">
        <v>0</v>
      </c>
      <c r="G10" s="75">
        <f>SUM(D10:F10)</f>
        <v>0</v>
      </c>
      <c r="H10" s="76">
        <v>0</v>
      </c>
      <c r="I10" s="14">
        <v>0</v>
      </c>
      <c r="J10" s="14">
        <v>0</v>
      </c>
      <c r="K10" s="75">
        <f>SUM(H10:J10)</f>
        <v>0</v>
      </c>
      <c r="L10" s="76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82">
        <f>W10-V10</f>
        <v>0</v>
      </c>
      <c r="Y10" s="13">
        <f>+K10-X10</f>
        <v>0</v>
      </c>
    </row>
    <row r="11" spans="1:25" ht="15" customHeight="1">
      <c r="A11" s="11" t="s">
        <v>47</v>
      </c>
      <c r="B11" s="12" t="s">
        <v>48</v>
      </c>
      <c r="C11" s="13"/>
      <c r="D11" s="76">
        <v>0</v>
      </c>
      <c r="E11" s="14">
        <v>0</v>
      </c>
      <c r="F11" s="14">
        <v>0</v>
      </c>
      <c r="G11" s="75">
        <f>SUM(D11:F11)</f>
        <v>0</v>
      </c>
      <c r="H11" s="76">
        <v>0</v>
      </c>
      <c r="I11" s="14">
        <v>0</v>
      </c>
      <c r="J11" s="14">
        <v>0</v>
      </c>
      <c r="K11" s="75">
        <f>SUM(H11:J11)</f>
        <v>0</v>
      </c>
      <c r="L11" s="76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82">
        <f>W11-V11</f>
        <v>0</v>
      </c>
      <c r="Y11" s="13">
        <f>+K11-X11</f>
        <v>0</v>
      </c>
    </row>
    <row r="12" spans="1:25" ht="15" customHeight="1">
      <c r="A12" s="11" t="s">
        <v>49</v>
      </c>
      <c r="B12" s="12" t="s">
        <v>50</v>
      </c>
      <c r="C12" s="13"/>
      <c r="D12" s="74">
        <f>SUM(D13:D20)</f>
        <v>96989846845</v>
      </c>
      <c r="E12" s="12">
        <f aca="true" t="shared" si="6" ref="E12:S12">SUM(E13:E20)</f>
        <v>0</v>
      </c>
      <c r="F12" s="12">
        <f t="shared" si="6"/>
        <v>-18581820</v>
      </c>
      <c r="G12" s="75">
        <f t="shared" si="6"/>
        <v>96971265025</v>
      </c>
      <c r="H12" s="74">
        <f t="shared" si="6"/>
        <v>96989846845</v>
      </c>
      <c r="I12" s="12">
        <f t="shared" si="6"/>
        <v>0</v>
      </c>
      <c r="J12" s="12">
        <f t="shared" si="6"/>
        <v>-18581820</v>
      </c>
      <c r="K12" s="75">
        <f>SUM(K13:K20)</f>
        <v>96971265025</v>
      </c>
      <c r="L12" s="74">
        <f t="shared" si="6"/>
        <v>6636299991</v>
      </c>
      <c r="M12" s="12">
        <f t="shared" si="6"/>
        <v>6427132988</v>
      </c>
      <c r="N12" s="12">
        <f t="shared" si="6"/>
        <v>6921502908</v>
      </c>
      <c r="O12" s="12">
        <f t="shared" si="6"/>
        <v>6549773893</v>
      </c>
      <c r="P12" s="12">
        <f t="shared" si="6"/>
        <v>7133220941</v>
      </c>
      <c r="Q12" s="12">
        <f t="shared" si="6"/>
        <v>9312890667</v>
      </c>
      <c r="R12" s="12">
        <f t="shared" si="6"/>
        <v>7928077144</v>
      </c>
      <c r="S12" s="12">
        <f t="shared" si="6"/>
        <v>5765976436</v>
      </c>
      <c r="T12" s="12">
        <f aca="true" t="shared" si="7" ref="T12:Y12">SUM(T13:T20)</f>
        <v>6797287274</v>
      </c>
      <c r="U12" s="12">
        <f t="shared" si="7"/>
        <v>6898253961</v>
      </c>
      <c r="V12" s="12">
        <f t="shared" si="7"/>
        <v>7943852636</v>
      </c>
      <c r="W12" s="12">
        <f t="shared" si="7"/>
        <v>17855560606</v>
      </c>
      <c r="X12" s="82">
        <f t="shared" si="7"/>
        <v>96169829445</v>
      </c>
      <c r="Y12" s="13">
        <f t="shared" si="7"/>
        <v>801435580</v>
      </c>
    </row>
    <row r="13" spans="1:25" ht="15" customHeight="1">
      <c r="A13" s="11" t="s">
        <v>51</v>
      </c>
      <c r="B13" s="12" t="s">
        <v>52</v>
      </c>
      <c r="C13" s="13"/>
      <c r="D13" s="76">
        <f>K13-E13-F13</f>
        <v>96129846845</v>
      </c>
      <c r="E13" s="15">
        <v>0</v>
      </c>
      <c r="F13" s="15">
        <v>-18581820</v>
      </c>
      <c r="G13" s="75">
        <f aca="true" t="shared" si="8" ref="G13:G20">SUM(D13:F13)</f>
        <v>96111265025</v>
      </c>
      <c r="H13" s="79">
        <v>96129846845</v>
      </c>
      <c r="I13" s="15">
        <v>0</v>
      </c>
      <c r="J13" s="15">
        <v>-18581820</v>
      </c>
      <c r="K13" s="75">
        <f aca="true" t="shared" si="9" ref="K13:K20">SUM(H13:J13)</f>
        <v>96111265025</v>
      </c>
      <c r="L13" s="15">
        <v>6628845916</v>
      </c>
      <c r="M13" s="15">
        <v>6416404298</v>
      </c>
      <c r="N13" s="15">
        <v>6920735944</v>
      </c>
      <c r="O13" s="15">
        <v>6547558121</v>
      </c>
      <c r="P13" s="15">
        <v>7130162859</v>
      </c>
      <c r="Q13" s="15">
        <v>9311418678</v>
      </c>
      <c r="R13" s="15">
        <v>7918059144</v>
      </c>
      <c r="S13" s="15">
        <v>5765931236</v>
      </c>
      <c r="T13" s="15">
        <v>6796775819</v>
      </c>
      <c r="U13" s="15">
        <v>6897301655</v>
      </c>
      <c r="V13" s="15">
        <v>7943468217</v>
      </c>
      <c r="W13" s="15">
        <f>14787041503+3142491434-898581869+800000000+22233890</f>
        <v>17853184958</v>
      </c>
      <c r="X13" s="82">
        <f>SUM(L13:W13)</f>
        <v>96129846845</v>
      </c>
      <c r="Y13" s="13">
        <f>+K13-X13</f>
        <v>-18581820</v>
      </c>
    </row>
    <row r="14" spans="1:25" ht="15" customHeight="1">
      <c r="A14" s="11" t="s">
        <v>53</v>
      </c>
      <c r="B14" s="12" t="s">
        <v>54</v>
      </c>
      <c r="C14" s="13"/>
      <c r="D14" s="76">
        <f aca="true" t="shared" si="10" ref="D14:D20">K14-E14-F14</f>
        <v>0</v>
      </c>
      <c r="E14" s="15">
        <v>0</v>
      </c>
      <c r="F14" s="15">
        <v>0</v>
      </c>
      <c r="G14" s="75">
        <f t="shared" si="8"/>
        <v>0</v>
      </c>
      <c r="H14" s="79">
        <v>0</v>
      </c>
      <c r="I14" s="15">
        <v>0</v>
      </c>
      <c r="J14" s="15">
        <v>0</v>
      </c>
      <c r="K14" s="75">
        <f t="shared" si="9"/>
        <v>0</v>
      </c>
      <c r="L14" s="79">
        <v>0</v>
      </c>
      <c r="M14" s="15">
        <v>0</v>
      </c>
      <c r="N14" s="15">
        <v>0</v>
      </c>
      <c r="O14" s="15"/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82">
        <f aca="true" t="shared" si="11" ref="X14:X20">SUM(L14:W14)</f>
        <v>0</v>
      </c>
      <c r="Y14" s="13">
        <f aca="true" t="shared" si="12" ref="Y14:Y20">+K14-X14</f>
        <v>0</v>
      </c>
    </row>
    <row r="15" spans="1:25" ht="15" customHeight="1">
      <c r="A15" s="11" t="s">
        <v>55</v>
      </c>
      <c r="B15" s="12" t="s">
        <v>56</v>
      </c>
      <c r="C15" s="13"/>
      <c r="D15" s="76">
        <f t="shared" si="10"/>
        <v>0</v>
      </c>
      <c r="E15" s="14">
        <v>0</v>
      </c>
      <c r="F15" s="14">
        <v>0</v>
      </c>
      <c r="G15" s="75">
        <f t="shared" si="8"/>
        <v>0</v>
      </c>
      <c r="H15" s="76">
        <v>0</v>
      </c>
      <c r="I15" s="14">
        <v>0</v>
      </c>
      <c r="J15" s="14">
        <v>0</v>
      </c>
      <c r="K15" s="75">
        <f t="shared" si="9"/>
        <v>0</v>
      </c>
      <c r="L15" s="76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82">
        <f t="shared" si="11"/>
        <v>0</v>
      </c>
      <c r="Y15" s="13">
        <f t="shared" si="12"/>
        <v>0</v>
      </c>
    </row>
    <row r="16" spans="1:25" ht="15" customHeight="1">
      <c r="A16" s="11" t="s">
        <v>57</v>
      </c>
      <c r="B16" s="12" t="s">
        <v>58</v>
      </c>
      <c r="C16" s="13"/>
      <c r="D16" s="76">
        <f t="shared" si="10"/>
        <v>0</v>
      </c>
      <c r="E16" s="14">
        <v>0</v>
      </c>
      <c r="F16" s="14">
        <v>0</v>
      </c>
      <c r="G16" s="75">
        <f t="shared" si="8"/>
        <v>0</v>
      </c>
      <c r="H16" s="76">
        <v>0</v>
      </c>
      <c r="I16" s="14">
        <v>0</v>
      </c>
      <c r="J16" s="14">
        <v>0</v>
      </c>
      <c r="K16" s="75">
        <f t="shared" si="9"/>
        <v>0</v>
      </c>
      <c r="L16" s="76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82">
        <f t="shared" si="11"/>
        <v>0</v>
      </c>
      <c r="Y16" s="13">
        <f t="shared" si="12"/>
        <v>0</v>
      </c>
    </row>
    <row r="17" spans="1:25" ht="15" customHeight="1">
      <c r="A17" s="11" t="s">
        <v>59</v>
      </c>
      <c r="B17" s="12" t="s">
        <v>60</v>
      </c>
      <c r="C17" s="13"/>
      <c r="D17" s="76">
        <f t="shared" si="10"/>
        <v>0</v>
      </c>
      <c r="E17" s="14">
        <v>0</v>
      </c>
      <c r="F17" s="14">
        <v>0</v>
      </c>
      <c r="G17" s="75">
        <f t="shared" si="8"/>
        <v>0</v>
      </c>
      <c r="H17" s="76">
        <v>0</v>
      </c>
      <c r="I17" s="14">
        <v>0</v>
      </c>
      <c r="J17" s="14">
        <v>0</v>
      </c>
      <c r="K17" s="75">
        <f t="shared" si="9"/>
        <v>0</v>
      </c>
      <c r="L17" s="76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82">
        <f t="shared" si="11"/>
        <v>0</v>
      </c>
      <c r="Y17" s="13">
        <f t="shared" si="12"/>
        <v>0</v>
      </c>
    </row>
    <row r="18" spans="1:25" ht="15" customHeight="1">
      <c r="A18" s="11" t="s">
        <v>61</v>
      </c>
      <c r="B18" s="12" t="s">
        <v>62</v>
      </c>
      <c r="C18" s="13"/>
      <c r="D18" s="76">
        <f t="shared" si="10"/>
        <v>0</v>
      </c>
      <c r="E18" s="14">
        <v>0</v>
      </c>
      <c r="F18" s="14">
        <v>0</v>
      </c>
      <c r="G18" s="75">
        <f t="shared" si="8"/>
        <v>0</v>
      </c>
      <c r="H18" s="76">
        <v>0</v>
      </c>
      <c r="I18" s="14">
        <v>0</v>
      </c>
      <c r="J18" s="14">
        <v>0</v>
      </c>
      <c r="K18" s="75">
        <f t="shared" si="9"/>
        <v>0</v>
      </c>
      <c r="L18" s="76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82">
        <f t="shared" si="11"/>
        <v>0</v>
      </c>
      <c r="Y18" s="13">
        <f t="shared" si="12"/>
        <v>0</v>
      </c>
    </row>
    <row r="19" spans="1:25" ht="15" customHeight="1">
      <c r="A19" s="11" t="s">
        <v>63</v>
      </c>
      <c r="B19" s="12" t="s">
        <v>64</v>
      </c>
      <c r="C19" s="13"/>
      <c r="D19" s="76">
        <f t="shared" si="10"/>
        <v>0</v>
      </c>
      <c r="E19" s="14">
        <v>0</v>
      </c>
      <c r="F19" s="14">
        <v>0</v>
      </c>
      <c r="G19" s="75">
        <f t="shared" si="8"/>
        <v>0</v>
      </c>
      <c r="H19" s="76">
        <v>0</v>
      </c>
      <c r="I19" s="14">
        <v>0</v>
      </c>
      <c r="J19" s="14">
        <v>0</v>
      </c>
      <c r="K19" s="75">
        <f t="shared" si="9"/>
        <v>0</v>
      </c>
      <c r="L19" s="76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82">
        <f t="shared" si="11"/>
        <v>0</v>
      </c>
      <c r="Y19" s="13">
        <f t="shared" si="12"/>
        <v>0</v>
      </c>
    </row>
    <row r="20" spans="1:25" ht="15" customHeight="1">
      <c r="A20" s="11" t="s">
        <v>65</v>
      </c>
      <c r="B20" s="12" t="s">
        <v>271</v>
      </c>
      <c r="C20" s="13"/>
      <c r="D20" s="76">
        <f t="shared" si="10"/>
        <v>860000000</v>
      </c>
      <c r="E20" s="15">
        <v>0</v>
      </c>
      <c r="F20" s="15">
        <v>0</v>
      </c>
      <c r="G20" s="75">
        <f t="shared" si="8"/>
        <v>860000000</v>
      </c>
      <c r="H20" s="79">
        <v>860000000</v>
      </c>
      <c r="I20" s="15">
        <v>0</v>
      </c>
      <c r="J20" s="15">
        <v>0</v>
      </c>
      <c r="K20" s="75">
        <f t="shared" si="9"/>
        <v>860000000</v>
      </c>
      <c r="L20" s="79">
        <v>7454075</v>
      </c>
      <c r="M20" s="15">
        <f>10718690+10000</f>
        <v>10728690</v>
      </c>
      <c r="N20" s="15">
        <f>18034+748930</f>
        <v>766964</v>
      </c>
      <c r="O20" s="15">
        <f>748930+1466842</f>
        <v>2215772</v>
      </c>
      <c r="P20" s="15">
        <v>3058082</v>
      </c>
      <c r="Q20" s="15">
        <v>1471989</v>
      </c>
      <c r="R20" s="15">
        <v>10018000</v>
      </c>
      <c r="S20" s="15">
        <v>45200</v>
      </c>
      <c r="T20" s="15">
        <v>511455</v>
      </c>
      <c r="U20" s="15">
        <f>203376+748930</f>
        <v>952306</v>
      </c>
      <c r="V20" s="15">
        <v>384419</v>
      </c>
      <c r="W20" s="15">
        <f>748930+1626718</f>
        <v>2375648</v>
      </c>
      <c r="X20" s="82">
        <f t="shared" si="11"/>
        <v>39982600</v>
      </c>
      <c r="Y20" s="13">
        <f t="shared" si="12"/>
        <v>820017400</v>
      </c>
    </row>
    <row r="21" spans="1:25" ht="15" customHeight="1">
      <c r="A21" s="34" t="s">
        <v>66</v>
      </c>
      <c r="B21" s="24" t="s">
        <v>67</v>
      </c>
      <c r="C21" s="35"/>
      <c r="D21" s="77">
        <f>SUM(D22:D26)</f>
        <v>34281600000</v>
      </c>
      <c r="E21" s="24">
        <f aca="true" t="shared" si="13" ref="E21:S21">SUM(E22:E26)</f>
        <v>1760400000</v>
      </c>
      <c r="F21" s="24">
        <f t="shared" si="13"/>
        <v>0</v>
      </c>
      <c r="G21" s="35">
        <f t="shared" si="13"/>
        <v>36042000000</v>
      </c>
      <c r="H21" s="77">
        <f t="shared" si="13"/>
        <v>34281600000</v>
      </c>
      <c r="I21" s="24">
        <f t="shared" si="13"/>
        <v>1760400000</v>
      </c>
      <c r="J21" s="24">
        <f t="shared" si="13"/>
        <v>0</v>
      </c>
      <c r="K21" s="35">
        <f>SUM(K22:K26)</f>
        <v>36042000000</v>
      </c>
      <c r="L21" s="77">
        <f t="shared" si="13"/>
        <v>2740692947</v>
      </c>
      <c r="M21" s="24">
        <f t="shared" si="13"/>
        <v>2737272024</v>
      </c>
      <c r="N21" s="24">
        <f t="shared" si="13"/>
        <v>2966838817</v>
      </c>
      <c r="O21" s="24">
        <f t="shared" si="13"/>
        <v>2606018938</v>
      </c>
      <c r="P21" s="24">
        <f t="shared" si="13"/>
        <v>2807712315</v>
      </c>
      <c r="Q21" s="24">
        <f t="shared" si="13"/>
        <v>2949753832</v>
      </c>
      <c r="R21" s="24">
        <f t="shared" si="13"/>
        <v>3339905272</v>
      </c>
      <c r="S21" s="24">
        <f t="shared" si="13"/>
        <v>2898281571</v>
      </c>
      <c r="T21" s="24">
        <f aca="true" t="shared" si="14" ref="T21:Y21">SUM(T22:T26)</f>
        <v>2793158525</v>
      </c>
      <c r="U21" s="24">
        <f t="shared" si="14"/>
        <v>4543020575</v>
      </c>
      <c r="V21" s="24">
        <f t="shared" si="14"/>
        <v>4782503670</v>
      </c>
      <c r="W21" s="24">
        <f t="shared" si="14"/>
        <v>920815759</v>
      </c>
      <c r="X21" s="83">
        <f t="shared" si="14"/>
        <v>36085974245</v>
      </c>
      <c r="Y21" s="35">
        <f t="shared" si="14"/>
        <v>-43974245</v>
      </c>
    </row>
    <row r="22" spans="1:25" ht="15" customHeight="1">
      <c r="A22" s="11" t="s">
        <v>68</v>
      </c>
      <c r="B22" s="12" t="s">
        <v>69</v>
      </c>
      <c r="C22" s="13"/>
      <c r="D22" s="76">
        <f>K22-E22-F22</f>
        <v>0</v>
      </c>
      <c r="E22" s="14">
        <v>0</v>
      </c>
      <c r="F22" s="14">
        <v>0</v>
      </c>
      <c r="G22" s="75">
        <f>SUM(D22:F22)</f>
        <v>0</v>
      </c>
      <c r="H22" s="76">
        <v>0</v>
      </c>
      <c r="I22" s="14">
        <v>0</v>
      </c>
      <c r="J22" s="14">
        <v>0</v>
      </c>
      <c r="K22" s="75">
        <f>SUM(H22:J22)</f>
        <v>0</v>
      </c>
      <c r="L22" s="76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82">
        <f>SUM(L22:W22)</f>
        <v>0</v>
      </c>
      <c r="Y22" s="13">
        <f>+K22-X22</f>
        <v>0</v>
      </c>
    </row>
    <row r="23" spans="1:25" ht="15" customHeight="1">
      <c r="A23" s="11" t="s">
        <v>70</v>
      </c>
      <c r="B23" s="12" t="s">
        <v>71</v>
      </c>
      <c r="C23" s="13"/>
      <c r="D23" s="76">
        <f>K23-E23-F23</f>
        <v>0</v>
      </c>
      <c r="E23" s="14">
        <v>0</v>
      </c>
      <c r="F23" s="14">
        <v>0</v>
      </c>
      <c r="G23" s="75">
        <f>SUM(D23:F23)</f>
        <v>0</v>
      </c>
      <c r="H23" s="76">
        <v>0</v>
      </c>
      <c r="I23" s="14">
        <v>0</v>
      </c>
      <c r="J23" s="14">
        <v>0</v>
      </c>
      <c r="K23" s="75">
        <f>SUM(H23:J23)</f>
        <v>0</v>
      </c>
      <c r="L23" s="76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82">
        <f>SUM(L23:W23)</f>
        <v>0</v>
      </c>
      <c r="Y23" s="13">
        <f>+K23-X23</f>
        <v>0</v>
      </c>
    </row>
    <row r="24" spans="1:25" ht="15" customHeight="1">
      <c r="A24" s="11" t="s">
        <v>72</v>
      </c>
      <c r="B24" s="12" t="s">
        <v>272</v>
      </c>
      <c r="C24" s="13"/>
      <c r="D24" s="76">
        <f>K24-E24-F24</f>
        <v>33362200000</v>
      </c>
      <c r="E24" s="15">
        <v>0</v>
      </c>
      <c r="F24" s="15">
        <v>0</v>
      </c>
      <c r="G24" s="75">
        <f>SUM(D24:F24)</f>
        <v>33362200000</v>
      </c>
      <c r="H24" s="79">
        <v>33362200000</v>
      </c>
      <c r="I24" s="15">
        <v>0</v>
      </c>
      <c r="J24" s="15">
        <v>0</v>
      </c>
      <c r="K24" s="75">
        <f>SUM(H24:J24)</f>
        <v>33362200000</v>
      </c>
      <c r="L24" s="79">
        <v>2734604171</v>
      </c>
      <c r="M24" s="15">
        <v>2726662041</v>
      </c>
      <c r="N24" s="15">
        <v>2966838817</v>
      </c>
      <c r="O24" s="15">
        <v>2603965080</v>
      </c>
      <c r="P24" s="15">
        <v>2807712315</v>
      </c>
      <c r="Q24" s="15">
        <v>2949753832</v>
      </c>
      <c r="R24" s="15">
        <v>3339905272</v>
      </c>
      <c r="S24" s="15">
        <f>2398281571+500000000</f>
        <v>2898281571</v>
      </c>
      <c r="T24" s="15">
        <v>2793158525</v>
      </c>
      <c r="U24" s="15">
        <v>2758814706</v>
      </c>
      <c r="V24" s="15">
        <v>4782503670</v>
      </c>
      <c r="W24" s="15">
        <v>898581869</v>
      </c>
      <c r="X24" s="82">
        <f>SUM(L24:W24)</f>
        <v>34260781869</v>
      </c>
      <c r="Y24" s="13">
        <f>+K24-X24</f>
        <v>-898581869</v>
      </c>
    </row>
    <row r="25" spans="1:25" ht="15" customHeight="1">
      <c r="A25" s="11" t="s">
        <v>73</v>
      </c>
      <c r="B25" s="12" t="s">
        <v>74</v>
      </c>
      <c r="C25" s="13"/>
      <c r="D25" s="76">
        <f>K25-E25-F25</f>
        <v>919400000</v>
      </c>
      <c r="E25" s="15">
        <v>0</v>
      </c>
      <c r="F25" s="15">
        <v>0</v>
      </c>
      <c r="G25" s="75">
        <f>SUM(D25:F25)</f>
        <v>919400000</v>
      </c>
      <c r="H25" s="79">
        <v>919400000</v>
      </c>
      <c r="I25" s="15">
        <v>0</v>
      </c>
      <c r="J25" s="15">
        <v>0</v>
      </c>
      <c r="K25" s="75">
        <f>SUM(H25:J25)</f>
        <v>919400000</v>
      </c>
      <c r="L25" s="79">
        <v>6088776</v>
      </c>
      <c r="M25" s="15">
        <v>10609983</v>
      </c>
      <c r="N25" s="15">
        <v>0</v>
      </c>
      <c r="O25" s="15">
        <v>2053858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23805869</v>
      </c>
      <c r="V25" s="15">
        <v>0</v>
      </c>
      <c r="W25" s="15">
        <f>22233890</f>
        <v>22233890</v>
      </c>
      <c r="X25" s="82">
        <f>SUM(L25:W25)</f>
        <v>64792376</v>
      </c>
      <c r="Y25" s="13">
        <f>+K25-X25</f>
        <v>854607624</v>
      </c>
    </row>
    <row r="26" spans="1:25" ht="15" customHeight="1">
      <c r="A26" s="11" t="s">
        <v>75</v>
      </c>
      <c r="B26" s="12" t="s">
        <v>76</v>
      </c>
      <c r="C26" s="13"/>
      <c r="D26" s="74">
        <f>SUM(D27:D29)</f>
        <v>0</v>
      </c>
      <c r="E26" s="12">
        <f aca="true" t="shared" si="15" ref="E26:S26">SUM(E27:E29)</f>
        <v>1760400000</v>
      </c>
      <c r="F26" s="12">
        <f t="shared" si="15"/>
        <v>0</v>
      </c>
      <c r="G26" s="75">
        <f t="shared" si="15"/>
        <v>1760400000</v>
      </c>
      <c r="H26" s="74">
        <f t="shared" si="15"/>
        <v>0</v>
      </c>
      <c r="I26" s="12">
        <f t="shared" si="15"/>
        <v>1760400000</v>
      </c>
      <c r="J26" s="12">
        <f t="shared" si="15"/>
        <v>0</v>
      </c>
      <c r="K26" s="75">
        <f>SUM(K27:K29)</f>
        <v>1760400000</v>
      </c>
      <c r="L26" s="74">
        <f t="shared" si="15"/>
        <v>0</v>
      </c>
      <c r="M26" s="12">
        <f t="shared" si="15"/>
        <v>0</v>
      </c>
      <c r="N26" s="12">
        <f t="shared" si="15"/>
        <v>0</v>
      </c>
      <c r="O26" s="12">
        <f t="shared" si="15"/>
        <v>0</v>
      </c>
      <c r="P26" s="12">
        <f t="shared" si="15"/>
        <v>0</v>
      </c>
      <c r="Q26" s="12">
        <f t="shared" si="15"/>
        <v>0</v>
      </c>
      <c r="R26" s="12">
        <f t="shared" si="15"/>
        <v>0</v>
      </c>
      <c r="S26" s="12">
        <f t="shared" si="15"/>
        <v>0</v>
      </c>
      <c r="T26" s="12">
        <f aca="true" t="shared" si="16" ref="T26:Y26">SUM(T27:T29)</f>
        <v>0</v>
      </c>
      <c r="U26" s="12">
        <f t="shared" si="16"/>
        <v>1760400000</v>
      </c>
      <c r="V26" s="12">
        <f t="shared" si="16"/>
        <v>0</v>
      </c>
      <c r="W26" s="12">
        <f>SUM(W27:W29)</f>
        <v>0</v>
      </c>
      <c r="X26" s="82">
        <f>SUM(X27:X29)</f>
        <v>1760400000</v>
      </c>
      <c r="Y26" s="13">
        <f t="shared" si="16"/>
        <v>0</v>
      </c>
    </row>
    <row r="27" spans="1:25" ht="15" customHeight="1">
      <c r="A27" s="11" t="s">
        <v>77</v>
      </c>
      <c r="B27" s="12" t="s">
        <v>78</v>
      </c>
      <c r="C27" s="13"/>
      <c r="D27" s="76">
        <f>K27-E27-F27</f>
        <v>0</v>
      </c>
      <c r="E27" s="15">
        <v>0</v>
      </c>
      <c r="F27" s="15">
        <v>0</v>
      </c>
      <c r="G27" s="75">
        <f>SUM(D27:F27)</f>
        <v>0</v>
      </c>
      <c r="H27" s="79">
        <v>0</v>
      </c>
      <c r="I27" s="15">
        <v>0</v>
      </c>
      <c r="J27" s="15">
        <v>0</v>
      </c>
      <c r="K27" s="75">
        <f>SUM(H27:J27)</f>
        <v>0</v>
      </c>
      <c r="L27" s="79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82">
        <f>SUM(L27:W27)</f>
        <v>0</v>
      </c>
      <c r="Y27" s="13">
        <f>+K27-X27</f>
        <v>0</v>
      </c>
    </row>
    <row r="28" spans="1:25" ht="15" customHeight="1">
      <c r="A28" s="11" t="s">
        <v>79</v>
      </c>
      <c r="B28" s="12" t="s">
        <v>80</v>
      </c>
      <c r="C28" s="13"/>
      <c r="D28" s="76">
        <f>K28-E28-F28</f>
        <v>0</v>
      </c>
      <c r="E28" s="15">
        <v>1760400000</v>
      </c>
      <c r="F28" s="15">
        <v>0</v>
      </c>
      <c r="G28" s="75">
        <f>SUM(D28:F28)</f>
        <v>1760400000</v>
      </c>
      <c r="H28" s="79">
        <v>0</v>
      </c>
      <c r="I28" s="15">
        <v>1760400000</v>
      </c>
      <c r="J28" s="15">
        <v>0</v>
      </c>
      <c r="K28" s="75">
        <f>SUM(H28:J28)</f>
        <v>1760400000</v>
      </c>
      <c r="L28" s="79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1760400000</v>
      </c>
      <c r="V28" s="15">
        <v>0</v>
      </c>
      <c r="W28" s="15">
        <v>0</v>
      </c>
      <c r="X28" s="82">
        <f>SUM(L28:W28)</f>
        <v>1760400000</v>
      </c>
      <c r="Y28" s="13">
        <f>+K28-X28</f>
        <v>0</v>
      </c>
    </row>
    <row r="29" spans="1:25" ht="15" customHeight="1" thickBot="1">
      <c r="A29" s="21" t="s">
        <v>81</v>
      </c>
      <c r="B29" s="16" t="s">
        <v>82</v>
      </c>
      <c r="C29" s="17"/>
      <c r="D29" s="78">
        <f>K29-E29-F29</f>
        <v>0</v>
      </c>
      <c r="E29" s="22">
        <v>0</v>
      </c>
      <c r="F29" s="22">
        <v>0</v>
      </c>
      <c r="G29" s="20">
        <f>SUM(D29:F29)</f>
        <v>0</v>
      </c>
      <c r="H29" s="80">
        <v>0</v>
      </c>
      <c r="I29" s="22">
        <v>0</v>
      </c>
      <c r="J29" s="22">
        <v>0</v>
      </c>
      <c r="K29" s="20">
        <f>SUM(H29:J29)</f>
        <v>0</v>
      </c>
      <c r="L29" s="80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84">
        <f>SUM(L29:W29)</f>
        <v>0</v>
      </c>
      <c r="Y29" s="17">
        <f>+K29-X29</f>
        <v>0</v>
      </c>
    </row>
    <row r="30" spans="1:25" ht="15" customHeight="1" thickBot="1">
      <c r="A30" s="55" t="s">
        <v>83</v>
      </c>
      <c r="B30" s="56" t="s">
        <v>84</v>
      </c>
      <c r="C30" s="57"/>
      <c r="D30" s="71">
        <f>SUM(D31:D33)</f>
        <v>32419000000</v>
      </c>
      <c r="E30" s="25">
        <f aca="true" t="shared" si="17" ref="E30:J30">SUM(E31:E33)</f>
        <v>2632000000</v>
      </c>
      <c r="F30" s="56">
        <f t="shared" si="17"/>
        <v>-1800000000</v>
      </c>
      <c r="G30" s="57">
        <f t="shared" si="17"/>
        <v>33251000000</v>
      </c>
      <c r="H30" s="81">
        <f t="shared" si="17"/>
        <v>32419000000</v>
      </c>
      <c r="I30" s="25">
        <f t="shared" si="17"/>
        <v>2632000000</v>
      </c>
      <c r="J30" s="25">
        <f t="shared" si="17"/>
        <v>-1800000000</v>
      </c>
      <c r="K30" s="26">
        <f aca="true" t="shared" si="18" ref="K30:W30">SUM(K31:K33)</f>
        <v>33251000000</v>
      </c>
      <c r="L30" s="71">
        <f t="shared" si="18"/>
        <v>0</v>
      </c>
      <c r="M30" s="56">
        <f t="shared" si="18"/>
        <v>311173168</v>
      </c>
      <c r="N30" s="56">
        <f t="shared" si="18"/>
        <v>1317602665</v>
      </c>
      <c r="O30" s="56">
        <f t="shared" si="18"/>
        <v>760911359</v>
      </c>
      <c r="P30" s="56">
        <f t="shared" si="18"/>
        <v>491388736</v>
      </c>
      <c r="Q30" s="56">
        <f t="shared" si="18"/>
        <v>889274800</v>
      </c>
      <c r="R30" s="56">
        <f t="shared" si="18"/>
        <v>617069998</v>
      </c>
      <c r="S30" s="56">
        <f t="shared" si="18"/>
        <v>5260959044</v>
      </c>
      <c r="T30" s="56">
        <f t="shared" si="18"/>
        <v>5341867035</v>
      </c>
      <c r="U30" s="56">
        <f t="shared" si="18"/>
        <v>4441454802</v>
      </c>
      <c r="V30" s="56">
        <f t="shared" si="18"/>
        <v>5036163871</v>
      </c>
      <c r="W30" s="56">
        <f t="shared" si="18"/>
        <v>4730906396</v>
      </c>
      <c r="X30" s="85">
        <f>SUM(X31:X33)</f>
        <v>29198771874</v>
      </c>
      <c r="Y30" s="57">
        <f>SUM(Y31:Y33)</f>
        <v>4052228126</v>
      </c>
    </row>
    <row r="31" spans="1:25" ht="15" customHeight="1">
      <c r="A31" s="11" t="s">
        <v>85</v>
      </c>
      <c r="B31" s="12" t="s">
        <v>86</v>
      </c>
      <c r="C31" s="13"/>
      <c r="D31" s="76">
        <f>K31-E31-F31</f>
        <v>0</v>
      </c>
      <c r="E31" s="14">
        <v>132000000</v>
      </c>
      <c r="F31" s="14">
        <v>0</v>
      </c>
      <c r="G31" s="75">
        <f>SUM(D31:F31)</f>
        <v>132000000</v>
      </c>
      <c r="H31" s="14">
        <v>0</v>
      </c>
      <c r="I31" s="14">
        <v>132000000</v>
      </c>
      <c r="J31" s="14">
        <v>0</v>
      </c>
      <c r="K31" s="23">
        <f>SUM(H31:J31)</f>
        <v>132000000</v>
      </c>
      <c r="L31" s="76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82">
        <f>SUM(L31:W31)</f>
        <v>0</v>
      </c>
      <c r="Y31" s="13">
        <f>+K31-X31</f>
        <v>132000000</v>
      </c>
    </row>
    <row r="32" spans="1:25" ht="15" customHeight="1">
      <c r="A32" s="11" t="s">
        <v>87</v>
      </c>
      <c r="B32" s="12" t="s">
        <v>88</v>
      </c>
      <c r="C32" s="13"/>
      <c r="D32" s="76">
        <f>K32-E32-F32</f>
        <v>0</v>
      </c>
      <c r="E32" s="14">
        <v>0</v>
      </c>
      <c r="F32" s="14">
        <v>0</v>
      </c>
      <c r="G32" s="75">
        <f>SUM(D32:F32)</f>
        <v>0</v>
      </c>
      <c r="H32" s="14">
        <v>0</v>
      </c>
      <c r="I32" s="14">
        <v>0</v>
      </c>
      <c r="J32" s="14">
        <v>0</v>
      </c>
      <c r="K32" s="23">
        <f>SUM(H32:J32)</f>
        <v>0</v>
      </c>
      <c r="L32" s="76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82">
        <f>SUM(L32:W32)</f>
        <v>0</v>
      </c>
      <c r="Y32" s="13">
        <f>+K32-X32</f>
        <v>0</v>
      </c>
    </row>
    <row r="33" spans="1:25" ht="15" customHeight="1" thickBot="1">
      <c r="A33" s="21" t="s">
        <v>89</v>
      </c>
      <c r="B33" s="16" t="s">
        <v>90</v>
      </c>
      <c r="C33" s="17"/>
      <c r="D33" s="78">
        <f>K33-E33-F33</f>
        <v>32419000000</v>
      </c>
      <c r="E33" s="22">
        <v>2500000000</v>
      </c>
      <c r="F33" s="22">
        <v>-1800000000</v>
      </c>
      <c r="G33" s="20">
        <f>SUM(D33:F33)</f>
        <v>33119000000</v>
      </c>
      <c r="H33" s="22">
        <v>32419000000</v>
      </c>
      <c r="I33" s="22">
        <v>2500000000</v>
      </c>
      <c r="J33" s="22">
        <v>-1800000000</v>
      </c>
      <c r="K33" s="19">
        <f>SUM(H33:J33)</f>
        <v>33119000000</v>
      </c>
      <c r="L33" s="80">
        <v>0</v>
      </c>
      <c r="M33" s="22">
        <v>311173168</v>
      </c>
      <c r="N33" s="22">
        <v>1317602665</v>
      </c>
      <c r="O33" s="22">
        <v>760911359</v>
      </c>
      <c r="P33" s="22">
        <v>491388736</v>
      </c>
      <c r="Q33" s="22">
        <v>889274800</v>
      </c>
      <c r="R33" s="22">
        <v>617069998</v>
      </c>
      <c r="S33" s="22">
        <v>5260959044</v>
      </c>
      <c r="T33" s="22">
        <v>5341867035</v>
      </c>
      <c r="U33" s="22">
        <f>4096875528+344579274</f>
        <v>4441454802</v>
      </c>
      <c r="V33" s="22">
        <v>5036163871</v>
      </c>
      <c r="W33" s="22">
        <f>4466790702+264125108-9414</f>
        <v>4730906396</v>
      </c>
      <c r="X33" s="84">
        <f>SUM(L33:W33)</f>
        <v>29198771874</v>
      </c>
      <c r="Y33" s="17">
        <f>+K33-X33</f>
        <v>3920228126</v>
      </c>
    </row>
    <row r="34" spans="1:25" ht="15" customHeight="1" thickBot="1">
      <c r="A34" s="377"/>
      <c r="B34" s="25" t="s">
        <v>91</v>
      </c>
      <c r="C34" s="26"/>
      <c r="D34" s="81">
        <f>+D7+D30</f>
        <v>163690446845</v>
      </c>
      <c r="E34" s="25">
        <f aca="true" t="shared" si="19" ref="E34:J34">+E7+E30</f>
        <v>4392400000</v>
      </c>
      <c r="F34" s="25">
        <f t="shared" si="19"/>
        <v>-1818581820</v>
      </c>
      <c r="G34" s="26">
        <f t="shared" si="19"/>
        <v>166264265025</v>
      </c>
      <c r="H34" s="25">
        <f t="shared" si="19"/>
        <v>163690446845</v>
      </c>
      <c r="I34" s="25">
        <f t="shared" si="19"/>
        <v>4392400000</v>
      </c>
      <c r="J34" s="25">
        <f t="shared" si="19"/>
        <v>-1818581820</v>
      </c>
      <c r="K34" s="25">
        <f aca="true" t="shared" si="20" ref="K34:W34">+K7+K30</f>
        <v>166264265025</v>
      </c>
      <c r="L34" s="81">
        <f t="shared" si="20"/>
        <v>9376992938</v>
      </c>
      <c r="M34" s="25">
        <f t="shared" si="20"/>
        <v>9475578180</v>
      </c>
      <c r="N34" s="25">
        <f t="shared" si="20"/>
        <v>11205944390</v>
      </c>
      <c r="O34" s="25">
        <f t="shared" si="20"/>
        <v>9916704190</v>
      </c>
      <c r="P34" s="25">
        <f t="shared" si="20"/>
        <v>10432321992</v>
      </c>
      <c r="Q34" s="25">
        <f t="shared" si="20"/>
        <v>13151919299</v>
      </c>
      <c r="R34" s="25">
        <f t="shared" si="20"/>
        <v>11885052414</v>
      </c>
      <c r="S34" s="25">
        <f t="shared" si="20"/>
        <v>13925217051</v>
      </c>
      <c r="T34" s="25">
        <f t="shared" si="20"/>
        <v>14932312834</v>
      </c>
      <c r="U34" s="25">
        <f t="shared" si="20"/>
        <v>15882729338</v>
      </c>
      <c r="V34" s="25">
        <f t="shared" si="20"/>
        <v>17762520177</v>
      </c>
      <c r="W34" s="25">
        <f t="shared" si="20"/>
        <v>23507282761</v>
      </c>
      <c r="X34" s="378">
        <f>+X7+X30</f>
        <v>161454575564</v>
      </c>
      <c r="Y34" s="26">
        <f>+Y7+Y30</f>
        <v>4809689461</v>
      </c>
    </row>
  </sheetData>
  <sheetProtection/>
  <printOptions horizontalCentered="1" verticalCentered="1"/>
  <pageMargins left="0.49" right="0.79" top="0.7874015748031497" bottom="0.9448818897637796" header="0.35433070866141736" footer="0.2362204724409449"/>
  <pageSetup fitToHeight="1" fitToWidth="1" horizontalDpi="300" verticalDpi="300" orientation="landscape" paperSize="9" scale="81" r:id="rId2"/>
  <headerFooter alignWithMargins="0">
    <oddHeader>&amp;LGPR-&amp;D&amp;C&amp;14INFORME EJECUCIÓN DE INGRESOS - SECTOR DESCENTRALIZADO&amp;RPág. &amp;P/&amp;N</oddHeader>
    <oddFooter xml:space="preserve">&amp;L&amp;14DURAN ROA CARVAJAL
Jefe de Presupuesto&amp;C&amp;14MARTA LUCIA VILELGAS BOTERO
Directora General&amp;R&amp;14LUZ MARINA CARREÑO MORENO
 Subdirectora Financiera (C)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K79"/>
  <sheetViews>
    <sheetView showGridLines="0" tabSelected="1" zoomScalePageLayoutView="0" workbookViewId="0" topLeftCell="F4">
      <pane xSplit="9" ySplit="4" topLeftCell="O8" activePane="bottomRight" state="frozen"/>
      <selection pane="topLeft" activeCell="F4" sqref="F4"/>
      <selection pane="topRight" activeCell="O4" sqref="O4"/>
      <selection pane="bottomLeft" activeCell="F8" sqref="F8"/>
      <selection pane="bottomRight" activeCell="U21" sqref="U21"/>
    </sheetView>
  </sheetViews>
  <sheetFormatPr defaultColWidth="18.7109375" defaultRowHeight="12.75"/>
  <cols>
    <col min="1" max="1" width="3.7109375" style="100" customWidth="1"/>
    <col min="2" max="2" width="4.7109375" style="100" customWidth="1"/>
    <col min="3" max="5" width="6.7109375" style="100" customWidth="1"/>
    <col min="6" max="6" width="8.28125" style="100" customWidth="1"/>
    <col min="7" max="7" width="57.140625" style="102" customWidth="1"/>
    <col min="8" max="8" width="18.7109375" style="97" hidden="1" customWidth="1"/>
    <col min="9" max="9" width="16.140625" style="97" hidden="1" customWidth="1"/>
    <col min="10" max="10" width="14.140625" style="97" hidden="1" customWidth="1"/>
    <col min="11" max="11" width="18.7109375" style="97" hidden="1" customWidth="1"/>
    <col min="12" max="12" width="15.57421875" style="97" hidden="1" customWidth="1"/>
    <col min="13" max="13" width="15.00390625" style="97" hidden="1" customWidth="1"/>
    <col min="14" max="20" width="18.7109375" style="97" hidden="1" customWidth="1"/>
    <col min="21" max="21" width="18.00390625" style="97" customWidth="1"/>
    <col min="22" max="27" width="18.7109375" style="97" hidden="1" customWidth="1"/>
    <col min="28" max="28" width="18.7109375" style="103" hidden="1" customWidth="1"/>
    <col min="29" max="29" width="18.7109375" style="97" hidden="1" customWidth="1"/>
    <col min="30" max="30" width="16.28125" style="97" hidden="1" customWidth="1"/>
    <col min="31" max="33" width="18.7109375" style="97" hidden="1" customWidth="1"/>
    <col min="34" max="34" width="19.8515625" style="101" customWidth="1"/>
    <col min="35" max="40" width="18.7109375" style="97" hidden="1" customWidth="1"/>
    <col min="41" max="41" width="18.7109375" style="103" hidden="1" customWidth="1"/>
    <col min="42" max="46" width="18.7109375" style="97" hidden="1" customWidth="1"/>
    <col min="47" max="47" width="20.57421875" style="101" customWidth="1"/>
    <col min="48" max="53" width="18.7109375" style="97" hidden="1" customWidth="1"/>
    <col min="54" max="54" width="18.7109375" style="103" hidden="1" customWidth="1"/>
    <col min="55" max="56" width="15.7109375" style="97" hidden="1" customWidth="1"/>
    <col min="57" max="57" width="20.00390625" style="97" hidden="1" customWidth="1"/>
    <col min="58" max="58" width="19.421875" style="97" hidden="1" customWidth="1"/>
    <col min="59" max="59" width="18.00390625" style="97" hidden="1" customWidth="1"/>
    <col min="60" max="60" width="19.140625" style="101" customWidth="1"/>
    <col min="61" max="61" width="15.57421875" style="97" customWidth="1"/>
    <col min="62" max="62" width="15.8515625" style="97" customWidth="1"/>
    <col min="63" max="63" width="14.140625" style="97" customWidth="1"/>
    <col min="64" max="16384" width="18.7109375" style="97" customWidth="1"/>
  </cols>
  <sheetData>
    <row r="1" spans="1:63" ht="24" customHeight="1">
      <c r="A1" s="91"/>
      <c r="B1" s="106"/>
      <c r="C1" s="28"/>
      <c r="D1" s="106"/>
      <c r="E1" s="106"/>
      <c r="F1" s="106"/>
      <c r="G1" s="92" t="s">
        <v>250</v>
      </c>
      <c r="H1" s="108"/>
      <c r="I1" s="109"/>
      <c r="J1" s="110"/>
      <c r="K1" s="109"/>
      <c r="L1" s="110"/>
      <c r="M1" s="111"/>
      <c r="N1" s="95" t="s">
        <v>2</v>
      </c>
      <c r="O1" s="223"/>
      <c r="P1" s="224"/>
      <c r="Q1" s="225"/>
      <c r="R1" s="224"/>
      <c r="S1" s="225"/>
      <c r="T1" s="226"/>
      <c r="U1" s="227" t="s">
        <v>2</v>
      </c>
      <c r="V1" s="117" t="s">
        <v>3</v>
      </c>
      <c r="W1" s="118" t="s">
        <v>4</v>
      </c>
      <c r="X1" s="118" t="s">
        <v>5</v>
      </c>
      <c r="Y1" s="118" t="s">
        <v>6</v>
      </c>
      <c r="Z1" s="118" t="s">
        <v>7</v>
      </c>
      <c r="AA1" s="118" t="s">
        <v>8</v>
      </c>
      <c r="AB1" s="119" t="s">
        <v>9</v>
      </c>
      <c r="AC1" s="118" t="s">
        <v>10</v>
      </c>
      <c r="AD1" s="118" t="s">
        <v>11</v>
      </c>
      <c r="AE1" s="118" t="s">
        <v>12</v>
      </c>
      <c r="AF1" s="118" t="s">
        <v>13</v>
      </c>
      <c r="AG1" s="118" t="s">
        <v>14</v>
      </c>
      <c r="AH1" s="677" t="s">
        <v>15</v>
      </c>
      <c r="AI1" s="117" t="s">
        <v>3</v>
      </c>
      <c r="AJ1" s="118" t="s">
        <v>4</v>
      </c>
      <c r="AK1" s="118" t="s">
        <v>5</v>
      </c>
      <c r="AL1" s="118" t="s">
        <v>6</v>
      </c>
      <c r="AM1" s="118" t="s">
        <v>7</v>
      </c>
      <c r="AN1" s="118" t="s">
        <v>8</v>
      </c>
      <c r="AO1" s="119" t="s">
        <v>9</v>
      </c>
      <c r="AP1" s="118" t="s">
        <v>10</v>
      </c>
      <c r="AQ1" s="118" t="s">
        <v>11</v>
      </c>
      <c r="AR1" s="118" t="s">
        <v>12</v>
      </c>
      <c r="AS1" s="118" t="s">
        <v>13</v>
      </c>
      <c r="AT1" s="118" t="s">
        <v>14</v>
      </c>
      <c r="AU1" s="252" t="s">
        <v>15</v>
      </c>
      <c r="AV1" s="117" t="s">
        <v>3</v>
      </c>
      <c r="AW1" s="185" t="s">
        <v>4</v>
      </c>
      <c r="AX1" s="185" t="s">
        <v>5</v>
      </c>
      <c r="AY1" s="185" t="s">
        <v>6</v>
      </c>
      <c r="AZ1" s="185" t="s">
        <v>7</v>
      </c>
      <c r="BA1" s="185" t="s">
        <v>8</v>
      </c>
      <c r="BB1" s="186" t="s">
        <v>9</v>
      </c>
      <c r="BC1" s="185" t="s">
        <v>10</v>
      </c>
      <c r="BD1" s="185" t="s">
        <v>11</v>
      </c>
      <c r="BE1" s="185" t="s">
        <v>12</v>
      </c>
      <c r="BF1" s="185" t="s">
        <v>13</v>
      </c>
      <c r="BG1" s="185" t="s">
        <v>14</v>
      </c>
      <c r="BH1" s="260" t="s">
        <v>15</v>
      </c>
      <c r="BI1" s="189" t="s">
        <v>16</v>
      </c>
      <c r="BJ1" s="234"/>
      <c r="BK1" s="190"/>
    </row>
    <row r="2" spans="1:63" ht="24" customHeight="1" thickBot="1">
      <c r="A2" s="93"/>
      <c r="B2" s="107"/>
      <c r="C2" s="5"/>
      <c r="D2" s="107"/>
      <c r="E2" s="107"/>
      <c r="F2" s="107"/>
      <c r="G2" s="94" t="s">
        <v>251</v>
      </c>
      <c r="H2" s="112"/>
      <c r="I2" s="113"/>
      <c r="J2" s="114"/>
      <c r="K2" s="115"/>
      <c r="L2" s="115"/>
      <c r="M2" s="116"/>
      <c r="N2" s="96" t="s">
        <v>18</v>
      </c>
      <c r="O2" s="228"/>
      <c r="P2" s="229"/>
      <c r="Q2" s="230"/>
      <c r="R2" s="231"/>
      <c r="S2" s="231"/>
      <c r="T2" s="232"/>
      <c r="U2" s="233" t="s">
        <v>18</v>
      </c>
      <c r="V2" s="120" t="s">
        <v>259</v>
      </c>
      <c r="W2" s="120" t="s">
        <v>259</v>
      </c>
      <c r="X2" s="120" t="s">
        <v>259</v>
      </c>
      <c r="Y2" s="120" t="s">
        <v>259</v>
      </c>
      <c r="Z2" s="120" t="s">
        <v>259</v>
      </c>
      <c r="AA2" s="120" t="s">
        <v>259</v>
      </c>
      <c r="AB2" s="120" t="s">
        <v>259</v>
      </c>
      <c r="AC2" s="120" t="s">
        <v>259</v>
      </c>
      <c r="AD2" s="120" t="s">
        <v>259</v>
      </c>
      <c r="AE2" s="120" t="s">
        <v>259</v>
      </c>
      <c r="AF2" s="120" t="s">
        <v>259</v>
      </c>
      <c r="AG2" s="120" t="s">
        <v>259</v>
      </c>
      <c r="AH2" s="120" t="s">
        <v>259</v>
      </c>
      <c r="AI2" s="120" t="s">
        <v>259</v>
      </c>
      <c r="AJ2" s="120" t="s">
        <v>259</v>
      </c>
      <c r="AK2" s="120" t="s">
        <v>259</v>
      </c>
      <c r="AL2" s="120" t="s">
        <v>259</v>
      </c>
      <c r="AM2" s="120" t="s">
        <v>259</v>
      </c>
      <c r="AN2" s="120" t="s">
        <v>259</v>
      </c>
      <c r="AO2" s="120" t="s">
        <v>259</v>
      </c>
      <c r="AP2" s="120" t="s">
        <v>259</v>
      </c>
      <c r="AQ2" s="120" t="s">
        <v>259</v>
      </c>
      <c r="AR2" s="120" t="s">
        <v>259</v>
      </c>
      <c r="AS2" s="120" t="s">
        <v>259</v>
      </c>
      <c r="AT2" s="120" t="s">
        <v>259</v>
      </c>
      <c r="AU2" s="120" t="s">
        <v>259</v>
      </c>
      <c r="AV2" s="120" t="s">
        <v>259</v>
      </c>
      <c r="AW2" s="120" t="s">
        <v>259</v>
      </c>
      <c r="AX2" s="120" t="s">
        <v>259</v>
      </c>
      <c r="AY2" s="120" t="s">
        <v>259</v>
      </c>
      <c r="AZ2" s="120" t="s">
        <v>259</v>
      </c>
      <c r="BA2" s="120" t="s">
        <v>259</v>
      </c>
      <c r="BB2" s="120" t="s">
        <v>259</v>
      </c>
      <c r="BC2" s="120" t="s">
        <v>259</v>
      </c>
      <c r="BD2" s="120" t="s">
        <v>259</v>
      </c>
      <c r="BE2" s="120" t="s">
        <v>259</v>
      </c>
      <c r="BF2" s="120" t="s">
        <v>259</v>
      </c>
      <c r="BG2" s="120" t="s">
        <v>259</v>
      </c>
      <c r="BH2" s="261" t="s">
        <v>259</v>
      </c>
      <c r="BI2" s="191">
        <f ca="1">TODAY()</f>
        <v>41229</v>
      </c>
      <c r="BJ2" s="235"/>
      <c r="BK2" s="192"/>
    </row>
    <row r="3" spans="1:63" ht="15.75" thickBot="1">
      <c r="A3" s="452"/>
      <c r="B3" s="38"/>
      <c r="C3" s="38"/>
      <c r="D3" s="38"/>
      <c r="E3" s="38"/>
      <c r="F3" s="453"/>
      <c r="G3" s="454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6"/>
      <c r="AC3" s="455"/>
      <c r="AD3" s="455"/>
      <c r="AE3" s="455"/>
      <c r="AF3" s="455"/>
      <c r="AG3" s="455"/>
      <c r="AH3" s="457"/>
      <c r="AI3" s="455"/>
      <c r="AJ3" s="455"/>
      <c r="AK3" s="455"/>
      <c r="AL3" s="455"/>
      <c r="AM3" s="455"/>
      <c r="AN3" s="455"/>
      <c r="AO3" s="456"/>
      <c r="AP3" s="455"/>
      <c r="AQ3" s="455"/>
      <c r="AR3" s="455"/>
      <c r="AS3" s="455"/>
      <c r="AT3" s="455"/>
      <c r="AU3" s="457"/>
      <c r="AV3" s="455"/>
      <c r="AW3" s="455"/>
      <c r="AX3" s="455"/>
      <c r="AY3" s="455"/>
      <c r="AZ3" s="455"/>
      <c r="BA3" s="455"/>
      <c r="BB3" s="456"/>
      <c r="BC3" s="455"/>
      <c r="BD3" s="455"/>
      <c r="BE3" s="455"/>
      <c r="BF3" s="455"/>
      <c r="BG3" s="455"/>
      <c r="BH3" s="457"/>
      <c r="BI3" s="455"/>
      <c r="BJ3" s="455"/>
      <c r="BK3" s="455"/>
    </row>
    <row r="4" spans="1:63" ht="15">
      <c r="A4" s="432" t="s">
        <v>92</v>
      </c>
      <c r="B4" s="433"/>
      <c r="C4" s="433"/>
      <c r="D4" s="433"/>
      <c r="E4" s="433"/>
      <c r="F4" s="458"/>
      <c r="G4" s="459"/>
      <c r="H4" s="460" t="s">
        <v>93</v>
      </c>
      <c r="I4" s="461" t="s">
        <v>94</v>
      </c>
      <c r="J4" s="461"/>
      <c r="K4" s="461"/>
      <c r="L4" s="461"/>
      <c r="M4" s="461"/>
      <c r="N4" s="462" t="s">
        <v>93</v>
      </c>
      <c r="O4" s="461" t="s">
        <v>93</v>
      </c>
      <c r="P4" s="461" t="s">
        <v>94</v>
      </c>
      <c r="Q4" s="461"/>
      <c r="R4" s="461"/>
      <c r="S4" s="461"/>
      <c r="T4" s="461"/>
      <c r="U4" s="462" t="s">
        <v>93</v>
      </c>
      <c r="V4" s="460" t="s">
        <v>95</v>
      </c>
      <c r="W4" s="463" t="s">
        <v>95</v>
      </c>
      <c r="X4" s="463" t="s">
        <v>95</v>
      </c>
      <c r="Y4" s="463" t="s">
        <v>95</v>
      </c>
      <c r="Z4" s="463" t="s">
        <v>95</v>
      </c>
      <c r="AA4" s="463" t="s">
        <v>95</v>
      </c>
      <c r="AB4" s="464" t="s">
        <v>95</v>
      </c>
      <c r="AC4" s="463" t="s">
        <v>95</v>
      </c>
      <c r="AD4" s="463" t="s">
        <v>95</v>
      </c>
      <c r="AE4" s="463" t="s">
        <v>95</v>
      </c>
      <c r="AF4" s="463" t="s">
        <v>95</v>
      </c>
      <c r="AG4" s="463" t="s">
        <v>95</v>
      </c>
      <c r="AH4" s="465" t="s">
        <v>95</v>
      </c>
      <c r="AI4" s="460" t="s">
        <v>96</v>
      </c>
      <c r="AJ4" s="463" t="s">
        <v>96</v>
      </c>
      <c r="AK4" s="463" t="s">
        <v>96</v>
      </c>
      <c r="AL4" s="463" t="s">
        <v>96</v>
      </c>
      <c r="AM4" s="463" t="s">
        <v>96</v>
      </c>
      <c r="AN4" s="463" t="s">
        <v>96</v>
      </c>
      <c r="AO4" s="464" t="s">
        <v>96</v>
      </c>
      <c r="AP4" s="463" t="s">
        <v>96</v>
      </c>
      <c r="AQ4" s="463" t="s">
        <v>96</v>
      </c>
      <c r="AR4" s="463" t="s">
        <v>96</v>
      </c>
      <c r="AS4" s="463" t="s">
        <v>96</v>
      </c>
      <c r="AT4" s="463" t="s">
        <v>96</v>
      </c>
      <c r="AU4" s="465" t="s">
        <v>96</v>
      </c>
      <c r="AV4" s="460" t="s">
        <v>97</v>
      </c>
      <c r="AW4" s="466" t="s">
        <v>97</v>
      </c>
      <c r="AX4" s="466" t="s">
        <v>97</v>
      </c>
      <c r="AY4" s="466" t="s">
        <v>97</v>
      </c>
      <c r="AZ4" s="466" t="s">
        <v>97</v>
      </c>
      <c r="BA4" s="466" t="s">
        <v>97</v>
      </c>
      <c r="BB4" s="467" t="s">
        <v>97</v>
      </c>
      <c r="BC4" s="466" t="s">
        <v>97</v>
      </c>
      <c r="BD4" s="466" t="s">
        <v>97</v>
      </c>
      <c r="BE4" s="466" t="s">
        <v>97</v>
      </c>
      <c r="BF4" s="466" t="s">
        <v>97</v>
      </c>
      <c r="BG4" s="466" t="s">
        <v>97</v>
      </c>
      <c r="BH4" s="462" t="s">
        <v>97</v>
      </c>
      <c r="BI4" s="460" t="s">
        <v>23</v>
      </c>
      <c r="BJ4" s="468" t="s">
        <v>98</v>
      </c>
      <c r="BK4" s="462" t="s">
        <v>99</v>
      </c>
    </row>
    <row r="5" spans="1:63" ht="15">
      <c r="A5" s="146" t="s">
        <v>100</v>
      </c>
      <c r="B5" s="147" t="s">
        <v>101</v>
      </c>
      <c r="C5" s="148" t="s">
        <v>102</v>
      </c>
      <c r="D5" s="147" t="s">
        <v>103</v>
      </c>
      <c r="E5" s="147" t="s">
        <v>104</v>
      </c>
      <c r="F5" s="469" t="s">
        <v>105</v>
      </c>
      <c r="G5" s="470" t="s">
        <v>25</v>
      </c>
      <c r="H5" s="471" t="s">
        <v>27</v>
      </c>
      <c r="I5" s="472" t="s">
        <v>106</v>
      </c>
      <c r="J5" s="473"/>
      <c r="K5" s="474"/>
      <c r="L5" s="474"/>
      <c r="M5" s="474"/>
      <c r="N5" s="475" t="s">
        <v>107</v>
      </c>
      <c r="O5" s="476" t="s">
        <v>27</v>
      </c>
      <c r="P5" s="472" t="s">
        <v>106</v>
      </c>
      <c r="Q5" s="473"/>
      <c r="R5" s="477"/>
      <c r="S5" s="474"/>
      <c r="T5" s="474"/>
      <c r="U5" s="475" t="s">
        <v>107</v>
      </c>
      <c r="V5" s="471" t="s">
        <v>3</v>
      </c>
      <c r="W5" s="478" t="s">
        <v>4</v>
      </c>
      <c r="X5" s="478" t="s">
        <v>5</v>
      </c>
      <c r="Y5" s="478" t="s">
        <v>6</v>
      </c>
      <c r="Z5" s="478" t="s">
        <v>7</v>
      </c>
      <c r="AA5" s="478" t="s">
        <v>8</v>
      </c>
      <c r="AB5" s="479" t="s">
        <v>9</v>
      </c>
      <c r="AC5" s="478" t="s">
        <v>10</v>
      </c>
      <c r="AD5" s="478" t="s">
        <v>11</v>
      </c>
      <c r="AE5" s="478" t="s">
        <v>12</v>
      </c>
      <c r="AF5" s="478" t="s">
        <v>13</v>
      </c>
      <c r="AG5" s="478" t="s">
        <v>14</v>
      </c>
      <c r="AH5" s="480" t="s">
        <v>31</v>
      </c>
      <c r="AI5" s="471" t="s">
        <v>3</v>
      </c>
      <c r="AJ5" s="478" t="s">
        <v>4</v>
      </c>
      <c r="AK5" s="478" t="s">
        <v>5</v>
      </c>
      <c r="AL5" s="478" t="s">
        <v>6</v>
      </c>
      <c r="AM5" s="478" t="s">
        <v>7</v>
      </c>
      <c r="AN5" s="478" t="s">
        <v>8</v>
      </c>
      <c r="AO5" s="479" t="s">
        <v>9</v>
      </c>
      <c r="AP5" s="478" t="s">
        <v>10</v>
      </c>
      <c r="AQ5" s="478" t="s">
        <v>11</v>
      </c>
      <c r="AR5" s="478" t="s">
        <v>12</v>
      </c>
      <c r="AS5" s="478" t="s">
        <v>13</v>
      </c>
      <c r="AT5" s="478" t="s">
        <v>14</v>
      </c>
      <c r="AU5" s="480" t="s">
        <v>31</v>
      </c>
      <c r="AV5" s="471" t="s">
        <v>3</v>
      </c>
      <c r="AW5" s="474" t="s">
        <v>4</v>
      </c>
      <c r="AX5" s="474" t="s">
        <v>5</v>
      </c>
      <c r="AY5" s="474" t="s">
        <v>6</v>
      </c>
      <c r="AZ5" s="474" t="s">
        <v>7</v>
      </c>
      <c r="BA5" s="474" t="s">
        <v>8</v>
      </c>
      <c r="BB5" s="481" t="s">
        <v>9</v>
      </c>
      <c r="BC5" s="474" t="s">
        <v>10</v>
      </c>
      <c r="BD5" s="474" t="s">
        <v>11</v>
      </c>
      <c r="BE5" s="474" t="s">
        <v>12</v>
      </c>
      <c r="BF5" s="474" t="s">
        <v>13</v>
      </c>
      <c r="BG5" s="474" t="s">
        <v>14</v>
      </c>
      <c r="BH5" s="475" t="s">
        <v>31</v>
      </c>
      <c r="BI5" s="471" t="s">
        <v>93</v>
      </c>
      <c r="BJ5" s="482" t="s">
        <v>108</v>
      </c>
      <c r="BK5" s="475" t="s">
        <v>109</v>
      </c>
    </row>
    <row r="6" spans="1:63" ht="15.75" thickBot="1">
      <c r="A6" s="155"/>
      <c r="B6" s="156"/>
      <c r="C6" s="156" t="s">
        <v>110</v>
      </c>
      <c r="D6" s="156" t="s">
        <v>111</v>
      </c>
      <c r="E6" s="156" t="s">
        <v>112</v>
      </c>
      <c r="F6" s="483"/>
      <c r="G6" s="470"/>
      <c r="H6" s="484" t="s">
        <v>33</v>
      </c>
      <c r="I6" s="483" t="s">
        <v>113</v>
      </c>
      <c r="J6" s="483" t="s">
        <v>114</v>
      </c>
      <c r="K6" s="483" t="s">
        <v>115</v>
      </c>
      <c r="L6" s="483" t="s">
        <v>116</v>
      </c>
      <c r="M6" s="483" t="s">
        <v>117</v>
      </c>
      <c r="N6" s="485" t="s">
        <v>118</v>
      </c>
      <c r="O6" s="483" t="s">
        <v>33</v>
      </c>
      <c r="P6" s="483" t="s">
        <v>119</v>
      </c>
      <c r="Q6" s="483" t="s">
        <v>120</v>
      </c>
      <c r="R6" s="483" t="s">
        <v>121</v>
      </c>
      <c r="S6" s="483" t="s">
        <v>29</v>
      </c>
      <c r="T6" s="483" t="s">
        <v>28</v>
      </c>
      <c r="U6" s="485" t="s">
        <v>118</v>
      </c>
      <c r="V6" s="484"/>
      <c r="W6" s="486"/>
      <c r="X6" s="486"/>
      <c r="Y6" s="486"/>
      <c r="Z6" s="486"/>
      <c r="AA6" s="486"/>
      <c r="AB6" s="487"/>
      <c r="AC6" s="486"/>
      <c r="AD6" s="486"/>
      <c r="AE6" s="486"/>
      <c r="AF6" s="486"/>
      <c r="AG6" s="486"/>
      <c r="AH6" s="488" t="s">
        <v>122</v>
      </c>
      <c r="AI6" s="484"/>
      <c r="AJ6" s="486"/>
      <c r="AK6" s="486"/>
      <c r="AL6" s="486"/>
      <c r="AM6" s="486"/>
      <c r="AN6" s="486"/>
      <c r="AO6" s="487"/>
      <c r="AP6" s="486"/>
      <c r="AQ6" s="486"/>
      <c r="AR6" s="486"/>
      <c r="AS6" s="486"/>
      <c r="AT6" s="486"/>
      <c r="AU6" s="488" t="s">
        <v>37</v>
      </c>
      <c r="AV6" s="484"/>
      <c r="AW6" s="483"/>
      <c r="AX6" s="483"/>
      <c r="AY6" s="483"/>
      <c r="AZ6" s="483"/>
      <c r="BA6" s="483"/>
      <c r="BB6" s="489"/>
      <c r="BC6" s="483"/>
      <c r="BD6" s="483"/>
      <c r="BE6" s="483"/>
      <c r="BF6" s="483"/>
      <c r="BG6" s="483"/>
      <c r="BH6" s="490" t="s">
        <v>38</v>
      </c>
      <c r="BI6" s="484" t="s">
        <v>123</v>
      </c>
      <c r="BJ6" s="491" t="s">
        <v>124</v>
      </c>
      <c r="BK6" s="485" t="s">
        <v>125</v>
      </c>
    </row>
    <row r="7" spans="1:63" ht="15.75" thickBot="1">
      <c r="A7" s="434"/>
      <c r="B7" s="434"/>
      <c r="C7" s="434"/>
      <c r="D7" s="434"/>
      <c r="E7" s="434"/>
      <c r="F7" s="453"/>
      <c r="G7" s="454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6"/>
      <c r="AC7" s="455"/>
      <c r="AD7" s="455"/>
      <c r="AE7" s="455"/>
      <c r="AF7" s="455"/>
      <c r="AG7" s="455"/>
      <c r="AH7" s="457"/>
      <c r="AI7" s="455"/>
      <c r="AJ7" s="455"/>
      <c r="AK7" s="455"/>
      <c r="AL7" s="455"/>
      <c r="AM7" s="455"/>
      <c r="AN7" s="455"/>
      <c r="AO7" s="456"/>
      <c r="AP7" s="455"/>
      <c r="AQ7" s="455"/>
      <c r="AR7" s="455"/>
      <c r="AS7" s="455"/>
      <c r="AT7" s="455"/>
      <c r="AU7" s="457"/>
      <c r="AV7" s="455"/>
      <c r="AW7" s="455"/>
      <c r="AX7" s="455"/>
      <c r="AY7" s="455"/>
      <c r="AZ7" s="455"/>
      <c r="BA7" s="455"/>
      <c r="BB7" s="456"/>
      <c r="BC7" s="455"/>
      <c r="BD7" s="455"/>
      <c r="BE7" s="455"/>
      <c r="BF7" s="455"/>
      <c r="BG7" s="455"/>
      <c r="BH7" s="457"/>
      <c r="BI7" s="455"/>
      <c r="BJ7" s="455"/>
      <c r="BK7" s="455"/>
    </row>
    <row r="8" spans="1:63" ht="15.75" thickBot="1">
      <c r="A8" s="435" t="s">
        <v>126</v>
      </c>
      <c r="B8" s="436"/>
      <c r="C8" s="436"/>
      <c r="D8" s="436"/>
      <c r="E8" s="436"/>
      <c r="F8" s="492"/>
      <c r="G8" s="493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5"/>
      <c r="AC8" s="494"/>
      <c r="AD8" s="494"/>
      <c r="AE8" s="494"/>
      <c r="AF8" s="494"/>
      <c r="AG8" s="494"/>
      <c r="AH8" s="494"/>
      <c r="AI8" s="494"/>
      <c r="AJ8" s="494"/>
      <c r="AK8" s="494"/>
      <c r="AL8" s="494"/>
      <c r="AM8" s="494"/>
      <c r="AN8" s="494"/>
      <c r="AO8" s="495"/>
      <c r="AP8" s="494"/>
      <c r="AQ8" s="494"/>
      <c r="AR8" s="494"/>
      <c r="AS8" s="494"/>
      <c r="AT8" s="494"/>
      <c r="AU8" s="494"/>
      <c r="AV8" s="494"/>
      <c r="AW8" s="494"/>
      <c r="AX8" s="494"/>
      <c r="AY8" s="494"/>
      <c r="AZ8" s="494"/>
      <c r="BA8" s="494"/>
      <c r="BB8" s="495"/>
      <c r="BC8" s="494"/>
      <c r="BD8" s="494"/>
      <c r="BE8" s="494"/>
      <c r="BF8" s="494"/>
      <c r="BG8" s="494"/>
      <c r="BH8" s="494"/>
      <c r="BI8" s="494"/>
      <c r="BJ8" s="494"/>
      <c r="BK8" s="496"/>
    </row>
    <row r="9" spans="1:63" ht="15.75" thickBot="1">
      <c r="A9" s="434"/>
      <c r="B9" s="434"/>
      <c r="C9" s="434"/>
      <c r="D9" s="434"/>
      <c r="E9" s="434"/>
      <c r="F9" s="453"/>
      <c r="G9" s="454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6"/>
      <c r="AC9" s="455"/>
      <c r="AD9" s="455"/>
      <c r="AE9" s="455"/>
      <c r="AF9" s="455"/>
      <c r="AG9" s="455"/>
      <c r="AH9" s="457"/>
      <c r="AI9" s="455"/>
      <c r="AJ9" s="455"/>
      <c r="AK9" s="455"/>
      <c r="AL9" s="455"/>
      <c r="AM9" s="455"/>
      <c r="AN9" s="455"/>
      <c r="AO9" s="456"/>
      <c r="AP9" s="455"/>
      <c r="AQ9" s="455"/>
      <c r="AR9" s="455"/>
      <c r="AS9" s="455"/>
      <c r="AT9" s="455"/>
      <c r="AU9" s="457"/>
      <c r="AV9" s="455"/>
      <c r="AW9" s="455"/>
      <c r="AX9" s="455"/>
      <c r="AY9" s="455"/>
      <c r="AZ9" s="455"/>
      <c r="BA9" s="455"/>
      <c r="BB9" s="456"/>
      <c r="BC9" s="455"/>
      <c r="BD9" s="455"/>
      <c r="BE9" s="455"/>
      <c r="BF9" s="455"/>
      <c r="BG9" s="455"/>
      <c r="BH9" s="457"/>
      <c r="BI9" s="455"/>
      <c r="BJ9" s="455"/>
      <c r="BK9" s="455"/>
    </row>
    <row r="10" spans="1:63" s="101" customFormat="1" ht="21" customHeight="1" thickBot="1">
      <c r="A10" s="437" t="s">
        <v>127</v>
      </c>
      <c r="B10" s="438" t="s">
        <v>128</v>
      </c>
      <c r="C10" s="438" t="s">
        <v>128</v>
      </c>
      <c r="D10" s="438" t="s">
        <v>128</v>
      </c>
      <c r="E10" s="438" t="s">
        <v>128</v>
      </c>
      <c r="F10" s="497"/>
      <c r="G10" s="498" t="s">
        <v>283</v>
      </c>
      <c r="H10" s="499">
        <f aca="true" t="shared" si="0" ref="H10:M10">H11+H22+H27+H35</f>
        <v>15892732505</v>
      </c>
      <c r="I10" s="500">
        <f t="shared" si="0"/>
        <v>-354546515</v>
      </c>
      <c r="J10" s="500">
        <f t="shared" si="0"/>
        <v>354546515</v>
      </c>
      <c r="K10" s="500">
        <f t="shared" si="0"/>
        <v>0</v>
      </c>
      <c r="L10" s="500">
        <f t="shared" si="0"/>
        <v>0</v>
      </c>
      <c r="M10" s="500">
        <f t="shared" si="0"/>
        <v>132000000</v>
      </c>
      <c r="N10" s="501">
        <f aca="true" t="shared" si="1" ref="N10:N34">SUM(H10:M10)</f>
        <v>16024732505</v>
      </c>
      <c r="O10" s="499">
        <f aca="true" t="shared" si="2" ref="O10:T10">O11+O22+O27+O35</f>
        <v>14132332505</v>
      </c>
      <c r="P10" s="500">
        <f t="shared" si="2"/>
        <v>-1282571862</v>
      </c>
      <c r="Q10" s="500">
        <f t="shared" si="2"/>
        <v>1282571862</v>
      </c>
      <c r="R10" s="500">
        <f t="shared" si="2"/>
        <v>0</v>
      </c>
      <c r="S10" s="500">
        <f t="shared" si="2"/>
        <v>0</v>
      </c>
      <c r="T10" s="500">
        <f t="shared" si="2"/>
        <v>1892400000</v>
      </c>
      <c r="U10" s="501">
        <f aca="true" t="shared" si="3" ref="U10:U21">SUM(O10:T10)</f>
        <v>16024732505</v>
      </c>
      <c r="V10" s="499">
        <f aca="true" t="shared" si="4" ref="V10:AG10">V11+V22+V27+V35</f>
        <v>934527880</v>
      </c>
      <c r="W10" s="500">
        <f t="shared" si="4"/>
        <v>899050539</v>
      </c>
      <c r="X10" s="500">
        <f t="shared" si="4"/>
        <v>1263923053</v>
      </c>
      <c r="Y10" s="500">
        <f t="shared" si="4"/>
        <v>1216533058</v>
      </c>
      <c r="Z10" s="500">
        <f t="shared" si="4"/>
        <v>1013670986</v>
      </c>
      <c r="AA10" s="500">
        <f t="shared" si="4"/>
        <v>1431585124</v>
      </c>
      <c r="AB10" s="502">
        <f t="shared" si="4"/>
        <v>1137613133</v>
      </c>
      <c r="AC10" s="500">
        <f t="shared" si="4"/>
        <v>783502428</v>
      </c>
      <c r="AD10" s="500">
        <f t="shared" si="4"/>
        <v>882866020</v>
      </c>
      <c r="AE10" s="500">
        <f t="shared" si="4"/>
        <v>882709677</v>
      </c>
      <c r="AF10" s="500">
        <f t="shared" si="4"/>
        <v>1217406659</v>
      </c>
      <c r="AG10" s="500">
        <f t="shared" si="4"/>
        <v>3947610674</v>
      </c>
      <c r="AH10" s="501">
        <f aca="true" t="shared" si="5" ref="AH10:AH21">SUM(V10:AG10)</f>
        <v>15610999231</v>
      </c>
      <c r="AI10" s="499">
        <f aca="true" t="shared" si="6" ref="AI10:BG10">AI11+AI22+AI27+AI35</f>
        <v>491578023</v>
      </c>
      <c r="AJ10" s="500">
        <f t="shared" si="6"/>
        <v>857970866</v>
      </c>
      <c r="AK10" s="500">
        <f t="shared" si="6"/>
        <v>896496367</v>
      </c>
      <c r="AL10" s="500">
        <f t="shared" si="6"/>
        <v>973624215</v>
      </c>
      <c r="AM10" s="500">
        <f t="shared" si="6"/>
        <v>1023995970</v>
      </c>
      <c r="AN10" s="500">
        <f t="shared" si="6"/>
        <v>1435835071</v>
      </c>
      <c r="AO10" s="502">
        <f t="shared" si="6"/>
        <v>1250534066</v>
      </c>
      <c r="AP10" s="500">
        <f t="shared" si="6"/>
        <v>875461815</v>
      </c>
      <c r="AQ10" s="500">
        <f t="shared" si="6"/>
        <v>983631273</v>
      </c>
      <c r="AR10" s="500">
        <f t="shared" si="6"/>
        <v>1034097494</v>
      </c>
      <c r="AS10" s="500">
        <f t="shared" si="6"/>
        <v>1417568763</v>
      </c>
      <c r="AT10" s="500">
        <f t="shared" si="6"/>
        <v>2788558390</v>
      </c>
      <c r="AU10" s="500">
        <f t="shared" si="6"/>
        <v>14029352313</v>
      </c>
      <c r="AV10" s="499">
        <f t="shared" si="6"/>
        <v>491578023</v>
      </c>
      <c r="AW10" s="500">
        <f t="shared" si="6"/>
        <v>857970866</v>
      </c>
      <c r="AX10" s="500">
        <f t="shared" si="6"/>
        <v>896496367</v>
      </c>
      <c r="AY10" s="500">
        <f t="shared" si="6"/>
        <v>973624215</v>
      </c>
      <c r="AZ10" s="500">
        <f t="shared" si="6"/>
        <v>1023995970</v>
      </c>
      <c r="BA10" s="500">
        <f t="shared" si="6"/>
        <v>1435835071</v>
      </c>
      <c r="BB10" s="502">
        <f t="shared" si="6"/>
        <v>1250534066</v>
      </c>
      <c r="BC10" s="500">
        <f t="shared" si="6"/>
        <v>875461815</v>
      </c>
      <c r="BD10" s="500">
        <f t="shared" si="6"/>
        <v>983631273</v>
      </c>
      <c r="BE10" s="500">
        <f t="shared" si="6"/>
        <v>1034097494</v>
      </c>
      <c r="BF10" s="500">
        <f t="shared" si="6"/>
        <v>1417568763</v>
      </c>
      <c r="BG10" s="500">
        <f t="shared" si="6"/>
        <v>2788558390</v>
      </c>
      <c r="BH10" s="501">
        <f aca="true" t="shared" si="7" ref="BH10:BH21">SUM(AV10:BG10)</f>
        <v>14029352313</v>
      </c>
      <c r="BI10" s="499">
        <f>U10-AH10</f>
        <v>413733274</v>
      </c>
      <c r="BJ10" s="503">
        <f>AH10-AU10</f>
        <v>1581646918</v>
      </c>
      <c r="BK10" s="501">
        <f>AU10-BH10</f>
        <v>0</v>
      </c>
    </row>
    <row r="11" spans="1:63" s="101" customFormat="1" ht="21" customHeight="1">
      <c r="A11" s="439" t="s">
        <v>127</v>
      </c>
      <c r="B11" s="440" t="s">
        <v>130</v>
      </c>
      <c r="C11" s="441" t="s">
        <v>131</v>
      </c>
      <c r="D11" s="440" t="s">
        <v>128</v>
      </c>
      <c r="E11" s="440" t="s">
        <v>128</v>
      </c>
      <c r="F11" s="504"/>
      <c r="G11" s="505" t="s">
        <v>132</v>
      </c>
      <c r="H11" s="506">
        <f aca="true" t="shared" si="8" ref="H11:T11">SUM(H12:H21)</f>
        <v>9822052805</v>
      </c>
      <c r="I11" s="507">
        <f t="shared" si="8"/>
        <v>-1400000</v>
      </c>
      <c r="J11" s="507">
        <f t="shared" si="8"/>
        <v>354546515</v>
      </c>
      <c r="K11" s="507">
        <f t="shared" si="8"/>
        <v>0</v>
      </c>
      <c r="L11" s="507">
        <f t="shared" si="8"/>
        <v>0</v>
      </c>
      <c r="M11" s="507">
        <f t="shared" si="8"/>
        <v>0</v>
      </c>
      <c r="N11" s="508">
        <f t="shared" si="1"/>
        <v>10175199320</v>
      </c>
      <c r="O11" s="506">
        <f t="shared" si="8"/>
        <v>9869953936</v>
      </c>
      <c r="P11" s="507">
        <f t="shared" si="8"/>
        <v>-451642844</v>
      </c>
      <c r="Q11" s="507">
        <f t="shared" si="8"/>
        <v>756888228</v>
      </c>
      <c r="R11" s="507">
        <f t="shared" si="8"/>
        <v>0</v>
      </c>
      <c r="S11" s="507">
        <f t="shared" si="8"/>
        <v>0</v>
      </c>
      <c r="T11" s="507">
        <f t="shared" si="8"/>
        <v>0</v>
      </c>
      <c r="U11" s="508">
        <f t="shared" si="3"/>
        <v>10175199320</v>
      </c>
      <c r="V11" s="506">
        <f>SUM(V12:V20)</f>
        <v>465429337</v>
      </c>
      <c r="W11" s="507">
        <f>SUM(W12:W20)</f>
        <v>634080542</v>
      </c>
      <c r="X11" s="507">
        <f>SUM(X12:X20)</f>
        <v>659139615</v>
      </c>
      <c r="Y11" s="507">
        <f aca="true" t="shared" si="9" ref="Y11:AI11">SUM(Y12:Y21)</f>
        <v>702974004</v>
      </c>
      <c r="Z11" s="507">
        <f t="shared" si="9"/>
        <v>670618660</v>
      </c>
      <c r="AA11" s="507">
        <f t="shared" si="9"/>
        <v>1034710911</v>
      </c>
      <c r="AB11" s="509">
        <f t="shared" si="9"/>
        <v>783865844</v>
      </c>
      <c r="AC11" s="507">
        <f t="shared" si="9"/>
        <v>563172344</v>
      </c>
      <c r="AD11" s="507">
        <f t="shared" si="9"/>
        <v>618910624</v>
      </c>
      <c r="AE11" s="507">
        <f t="shared" si="9"/>
        <v>610281733</v>
      </c>
      <c r="AF11" s="507">
        <f t="shared" si="9"/>
        <v>735504572</v>
      </c>
      <c r="AG11" s="507">
        <f t="shared" si="9"/>
        <v>2304305071</v>
      </c>
      <c r="AH11" s="508">
        <f t="shared" si="5"/>
        <v>9782993257</v>
      </c>
      <c r="AI11" s="506">
        <f t="shared" si="9"/>
        <v>453262059</v>
      </c>
      <c r="AJ11" s="507">
        <f aca="true" t="shared" si="10" ref="AJ11:AT11">SUM(AJ12:AJ21)</f>
        <v>626528884</v>
      </c>
      <c r="AK11" s="507">
        <f t="shared" si="10"/>
        <v>643374954</v>
      </c>
      <c r="AL11" s="507">
        <f t="shared" si="10"/>
        <v>676415635</v>
      </c>
      <c r="AM11" s="507">
        <f t="shared" si="10"/>
        <v>650551842</v>
      </c>
      <c r="AN11" s="507">
        <f t="shared" si="10"/>
        <v>1037646095</v>
      </c>
      <c r="AO11" s="509">
        <f t="shared" si="10"/>
        <v>757149148</v>
      </c>
      <c r="AP11" s="507">
        <f t="shared" si="10"/>
        <v>573447030</v>
      </c>
      <c r="AQ11" s="507">
        <f t="shared" si="10"/>
        <v>619129727</v>
      </c>
      <c r="AR11" s="507">
        <f t="shared" si="10"/>
        <v>632381978</v>
      </c>
      <c r="AS11" s="507">
        <f t="shared" si="10"/>
        <v>737298127</v>
      </c>
      <c r="AT11" s="507">
        <f t="shared" si="10"/>
        <v>2191021979</v>
      </c>
      <c r="AU11" s="508">
        <f>SUM(AI11:AT11)</f>
        <v>9598207458</v>
      </c>
      <c r="AV11" s="506">
        <f>SUM(AV12:AV21)</f>
        <v>453262059</v>
      </c>
      <c r="AW11" s="507">
        <f>SUM(AW12:AW21)</f>
        <v>626528884</v>
      </c>
      <c r="AX11" s="507">
        <f>SUM(AX12:AX21)</f>
        <v>643374954</v>
      </c>
      <c r="AY11" s="507">
        <f aca="true" t="shared" si="11" ref="AY11:BG11">SUM(AY12:AY21)</f>
        <v>676415635</v>
      </c>
      <c r="AZ11" s="507">
        <f t="shared" si="11"/>
        <v>650551842</v>
      </c>
      <c r="BA11" s="507">
        <f t="shared" si="11"/>
        <v>1037646095</v>
      </c>
      <c r="BB11" s="509">
        <f t="shared" si="11"/>
        <v>757149148</v>
      </c>
      <c r="BC11" s="507">
        <f t="shared" si="11"/>
        <v>573447030</v>
      </c>
      <c r="BD11" s="507">
        <f t="shared" si="11"/>
        <v>619129727</v>
      </c>
      <c r="BE11" s="507">
        <f t="shared" si="11"/>
        <v>632381978</v>
      </c>
      <c r="BF11" s="507">
        <f t="shared" si="11"/>
        <v>737298127</v>
      </c>
      <c r="BG11" s="507">
        <f t="shared" si="11"/>
        <v>2191021979</v>
      </c>
      <c r="BH11" s="508">
        <f t="shared" si="7"/>
        <v>9598207458</v>
      </c>
      <c r="BI11" s="510">
        <f>U11-AH11</f>
        <v>392206063</v>
      </c>
      <c r="BJ11" s="511">
        <f>AH11-AU11</f>
        <v>184785799</v>
      </c>
      <c r="BK11" s="512">
        <f>AU11-BH11</f>
        <v>0</v>
      </c>
    </row>
    <row r="12" spans="1:63" ht="21" customHeight="1">
      <c r="A12" s="442" t="s">
        <v>127</v>
      </c>
      <c r="B12" s="443" t="s">
        <v>130</v>
      </c>
      <c r="C12" s="443" t="s">
        <v>133</v>
      </c>
      <c r="D12" s="443" t="s">
        <v>131</v>
      </c>
      <c r="E12" s="443" t="s">
        <v>131</v>
      </c>
      <c r="F12" s="513" t="s">
        <v>192</v>
      </c>
      <c r="G12" s="514" t="s">
        <v>135</v>
      </c>
      <c r="H12" s="515">
        <f aca="true" t="shared" si="12" ref="H12:H21">U12-SUM(I12:M12)</f>
        <v>0</v>
      </c>
      <c r="I12" s="516">
        <v>0</v>
      </c>
      <c r="J12" s="516">
        <v>132000000</v>
      </c>
      <c r="K12" s="516">
        <v>0</v>
      </c>
      <c r="L12" s="516">
        <v>0</v>
      </c>
      <c r="M12" s="516">
        <v>0</v>
      </c>
      <c r="N12" s="517">
        <f t="shared" si="1"/>
        <v>132000000</v>
      </c>
      <c r="O12" s="515">
        <v>0</v>
      </c>
      <c r="P12" s="516">
        <v>0</v>
      </c>
      <c r="Q12" s="516">
        <v>132000000</v>
      </c>
      <c r="R12" s="516">
        <v>0</v>
      </c>
      <c r="S12" s="516">
        <v>0</v>
      </c>
      <c r="T12" s="516">
        <v>0</v>
      </c>
      <c r="U12" s="517">
        <f t="shared" si="3"/>
        <v>132000000</v>
      </c>
      <c r="V12" s="515">
        <v>0</v>
      </c>
      <c r="W12" s="516">
        <v>0</v>
      </c>
      <c r="X12" s="516">
        <v>0</v>
      </c>
      <c r="Y12" s="516">
        <v>0</v>
      </c>
      <c r="Z12" s="516">
        <v>0</v>
      </c>
      <c r="AA12" s="516">
        <v>0</v>
      </c>
      <c r="AB12" s="516">
        <v>0</v>
      </c>
      <c r="AC12" s="516">
        <v>0</v>
      </c>
      <c r="AD12" s="516">
        <v>0</v>
      </c>
      <c r="AE12" s="516">
        <v>0</v>
      </c>
      <c r="AF12" s="516">
        <v>0</v>
      </c>
      <c r="AG12" s="516">
        <v>132000000</v>
      </c>
      <c r="AH12" s="517">
        <f t="shared" si="5"/>
        <v>132000000</v>
      </c>
      <c r="AI12" s="516">
        <f aca="true" t="shared" si="13" ref="AI12:AK13">AV12</f>
        <v>0</v>
      </c>
      <c r="AJ12" s="516">
        <f t="shared" si="13"/>
        <v>0</v>
      </c>
      <c r="AK12" s="516">
        <f t="shared" si="13"/>
        <v>0</v>
      </c>
      <c r="AL12" s="516">
        <f aca="true" t="shared" si="14" ref="AL12:AL21">AY12</f>
        <v>0</v>
      </c>
      <c r="AM12" s="516">
        <f>AZ12</f>
        <v>0</v>
      </c>
      <c r="AN12" s="516">
        <f aca="true" t="shared" si="15" ref="AM12:AN26">BA12</f>
        <v>0</v>
      </c>
      <c r="AO12" s="516">
        <f aca="true" t="shared" si="16" ref="AO12:AT13">BB12</f>
        <v>0</v>
      </c>
      <c r="AP12" s="516">
        <f t="shared" si="16"/>
        <v>0</v>
      </c>
      <c r="AQ12" s="516">
        <f t="shared" si="16"/>
        <v>0</v>
      </c>
      <c r="AR12" s="516">
        <f t="shared" si="16"/>
        <v>0</v>
      </c>
      <c r="AS12" s="516">
        <f t="shared" si="16"/>
        <v>0</v>
      </c>
      <c r="AT12" s="516">
        <f t="shared" si="16"/>
        <v>0</v>
      </c>
      <c r="AU12" s="517">
        <f aca="true" t="shared" si="17" ref="AU12:AU21">SUM(AI12:AT12)</f>
        <v>0</v>
      </c>
      <c r="AV12" s="515">
        <v>0</v>
      </c>
      <c r="AW12" s="515">
        <v>0</v>
      </c>
      <c r="AX12" s="515">
        <v>0</v>
      </c>
      <c r="AY12" s="516">
        <v>0</v>
      </c>
      <c r="AZ12" s="515">
        <v>0</v>
      </c>
      <c r="BA12" s="515">
        <v>0</v>
      </c>
      <c r="BB12" s="515">
        <v>0</v>
      </c>
      <c r="BC12" s="515">
        <v>0</v>
      </c>
      <c r="BD12" s="515">
        <v>0</v>
      </c>
      <c r="BE12" s="515">
        <v>0</v>
      </c>
      <c r="BF12" s="515">
        <v>0</v>
      </c>
      <c r="BG12" s="515">
        <v>0</v>
      </c>
      <c r="BH12" s="517">
        <f t="shared" si="7"/>
        <v>0</v>
      </c>
      <c r="BI12" s="518">
        <f aca="true" t="shared" si="18" ref="BI12:BI21">U12-AH12</f>
        <v>0</v>
      </c>
      <c r="BJ12" s="519">
        <f aca="true" t="shared" si="19" ref="BJ12:BJ21">AH12-AU12</f>
        <v>132000000</v>
      </c>
      <c r="BK12" s="520">
        <f aca="true" t="shared" si="20" ref="BK12:BK21">AU12-BH12</f>
        <v>0</v>
      </c>
    </row>
    <row r="13" spans="1:63" ht="21" customHeight="1">
      <c r="A13" s="442" t="s">
        <v>127</v>
      </c>
      <c r="B13" s="443" t="s">
        <v>130</v>
      </c>
      <c r="C13" s="443" t="s">
        <v>133</v>
      </c>
      <c r="D13" s="443" t="s">
        <v>131</v>
      </c>
      <c r="E13" s="443" t="s">
        <v>131</v>
      </c>
      <c r="F13" s="513" t="s">
        <v>134</v>
      </c>
      <c r="G13" s="514" t="s">
        <v>135</v>
      </c>
      <c r="H13" s="515">
        <f>U13-SUM(I13:M13)</f>
        <v>5426462443</v>
      </c>
      <c r="I13" s="516">
        <v>0</v>
      </c>
      <c r="J13" s="516">
        <v>112686649</v>
      </c>
      <c r="K13" s="516">
        <v>0</v>
      </c>
      <c r="L13" s="516">
        <v>0</v>
      </c>
      <c r="M13" s="516">
        <v>0</v>
      </c>
      <c r="N13" s="517">
        <f>SUM(H13:M13)</f>
        <v>5539149092</v>
      </c>
      <c r="O13" s="515">
        <v>5225092827</v>
      </c>
      <c r="P13" s="516">
        <v>0</v>
      </c>
      <c r="Q13" s="516">
        <f>201369616+112686649</f>
        <v>314056265</v>
      </c>
      <c r="R13" s="516">
        <v>0</v>
      </c>
      <c r="S13" s="516">
        <v>0</v>
      </c>
      <c r="T13" s="516">
        <v>0</v>
      </c>
      <c r="U13" s="517">
        <f>SUM(O13:T13)</f>
        <v>5539149092</v>
      </c>
      <c r="V13" s="515">
        <v>351795120</v>
      </c>
      <c r="W13" s="516">
        <v>435753829</v>
      </c>
      <c r="X13" s="516">
        <f>1209209580-(V13+W13)</f>
        <v>421660631</v>
      </c>
      <c r="Y13" s="516">
        <v>450717509</v>
      </c>
      <c r="Z13" s="516">
        <v>419185171</v>
      </c>
      <c r="AA13" s="516">
        <v>441836223</v>
      </c>
      <c r="AB13" s="516">
        <v>419602080</v>
      </c>
      <c r="AC13" s="516">
        <v>403462445</v>
      </c>
      <c r="AD13" s="516">
        <v>422836307</v>
      </c>
      <c r="AE13" s="516">
        <v>431353414</v>
      </c>
      <c r="AF13" s="516">
        <v>427747423</v>
      </c>
      <c r="AG13" s="516">
        <f>916290238-132000000-18</f>
        <v>784290220</v>
      </c>
      <c r="AH13" s="517">
        <f>SUM(V13:AG13)</f>
        <v>5410240372</v>
      </c>
      <c r="AI13" s="516">
        <f t="shared" si="13"/>
        <v>347934699</v>
      </c>
      <c r="AJ13" s="516">
        <f t="shared" si="13"/>
        <v>439614250</v>
      </c>
      <c r="AK13" s="516">
        <f t="shared" si="13"/>
        <v>421660631</v>
      </c>
      <c r="AL13" s="516">
        <f>AY13</f>
        <v>448787297</v>
      </c>
      <c r="AM13" s="516">
        <f>AZ13</f>
        <v>417928681</v>
      </c>
      <c r="AN13" s="516">
        <f>BA13</f>
        <v>445022925</v>
      </c>
      <c r="AO13" s="516">
        <f t="shared" si="16"/>
        <v>419014441</v>
      </c>
      <c r="AP13" s="516">
        <f t="shared" si="16"/>
        <v>403587404</v>
      </c>
      <c r="AQ13" s="516">
        <f t="shared" si="16"/>
        <v>422836307</v>
      </c>
      <c r="AR13" s="516">
        <f t="shared" si="16"/>
        <v>430994074</v>
      </c>
      <c r="AS13" s="516">
        <f t="shared" si="16"/>
        <v>428107423</v>
      </c>
      <c r="AT13" s="516">
        <f t="shared" si="16"/>
        <v>784752240</v>
      </c>
      <c r="AU13" s="517">
        <f>SUM(AI13:AT13)</f>
        <v>5410240372</v>
      </c>
      <c r="AV13" s="515">
        <v>347934699</v>
      </c>
      <c r="AW13" s="515">
        <v>439614250</v>
      </c>
      <c r="AX13" s="515">
        <f>417189261+4471370</f>
        <v>421660631</v>
      </c>
      <c r="AY13" s="516">
        <f>444296360+4490937</f>
        <v>448787297</v>
      </c>
      <c r="AZ13" s="515">
        <v>417928681</v>
      </c>
      <c r="BA13" s="515">
        <v>445022925</v>
      </c>
      <c r="BB13" s="515">
        <v>419014441</v>
      </c>
      <c r="BC13" s="515">
        <v>403587404</v>
      </c>
      <c r="BD13" s="515">
        <v>422836307</v>
      </c>
      <c r="BE13" s="515">
        <v>430994074</v>
      </c>
      <c r="BF13" s="515">
        <v>428107423</v>
      </c>
      <c r="BG13" s="515">
        <f>784752238+2</f>
        <v>784752240</v>
      </c>
      <c r="BH13" s="517">
        <f>SUM(AV13:BG13)</f>
        <v>5410240372</v>
      </c>
      <c r="BI13" s="518">
        <f>U13-AH13</f>
        <v>128908720</v>
      </c>
      <c r="BJ13" s="519">
        <f>AH13-AU13</f>
        <v>0</v>
      </c>
      <c r="BK13" s="520">
        <f>AU13-BH13</f>
        <v>0</v>
      </c>
    </row>
    <row r="14" spans="1:63" ht="21" customHeight="1">
      <c r="A14" s="442" t="s">
        <v>127</v>
      </c>
      <c r="B14" s="443" t="s">
        <v>130</v>
      </c>
      <c r="C14" s="443" t="s">
        <v>133</v>
      </c>
      <c r="D14" s="443" t="s">
        <v>131</v>
      </c>
      <c r="E14" s="443" t="s">
        <v>136</v>
      </c>
      <c r="F14" s="513" t="s">
        <v>134</v>
      </c>
      <c r="G14" s="514" t="s">
        <v>137</v>
      </c>
      <c r="H14" s="515">
        <f t="shared" si="12"/>
        <v>32993210</v>
      </c>
      <c r="I14" s="516"/>
      <c r="J14" s="516">
        <v>0</v>
      </c>
      <c r="K14" s="516">
        <v>0</v>
      </c>
      <c r="L14" s="516">
        <v>0</v>
      </c>
      <c r="M14" s="516">
        <v>0</v>
      </c>
      <c r="N14" s="517">
        <f t="shared" si="1"/>
        <v>32993210</v>
      </c>
      <c r="O14" s="515">
        <v>55942002</v>
      </c>
      <c r="P14" s="516">
        <v>-22948792</v>
      </c>
      <c r="Q14" s="516">
        <v>0</v>
      </c>
      <c r="R14" s="516">
        <v>0</v>
      </c>
      <c r="S14" s="516">
        <v>0</v>
      </c>
      <c r="T14" s="516">
        <v>0</v>
      </c>
      <c r="U14" s="517">
        <f t="shared" si="3"/>
        <v>32993210</v>
      </c>
      <c r="V14" s="515">
        <v>1992542</v>
      </c>
      <c r="W14" s="516">
        <f>4336891-V14</f>
        <v>2344349</v>
      </c>
      <c r="X14" s="516">
        <f>6682524-(V14+W14)</f>
        <v>2345633</v>
      </c>
      <c r="Y14" s="516">
        <v>2412492</v>
      </c>
      <c r="Z14" s="516">
        <v>1978715</v>
      </c>
      <c r="AA14" s="516">
        <v>2768969</v>
      </c>
      <c r="AB14" s="516">
        <v>2603478</v>
      </c>
      <c r="AC14" s="516">
        <v>2427840</v>
      </c>
      <c r="AD14" s="516">
        <v>2241412</v>
      </c>
      <c r="AE14" s="516">
        <v>2444022</v>
      </c>
      <c r="AF14" s="516">
        <v>2764016</v>
      </c>
      <c r="AG14" s="516">
        <v>3810961</v>
      </c>
      <c r="AH14" s="517">
        <f>SUM(V14:AG14)</f>
        <v>30134429</v>
      </c>
      <c r="AI14" s="516">
        <f aca="true" t="shared" si="21" ref="AI14:AI34">AV14</f>
        <v>1992542</v>
      </c>
      <c r="AJ14" s="516">
        <f aca="true" t="shared" si="22" ref="AJ14:AJ21">AW14</f>
        <v>2344349</v>
      </c>
      <c r="AK14" s="516">
        <f aca="true" t="shared" si="23" ref="AK14:AK21">AX14</f>
        <v>2345633</v>
      </c>
      <c r="AL14" s="516">
        <f t="shared" si="14"/>
        <v>2412492</v>
      </c>
      <c r="AM14" s="516">
        <f t="shared" si="15"/>
        <v>1978715</v>
      </c>
      <c r="AN14" s="516">
        <f t="shared" si="15"/>
        <v>2768969</v>
      </c>
      <c r="AO14" s="516">
        <f aca="true" t="shared" si="24" ref="AO14:AO21">BB14</f>
        <v>2603478</v>
      </c>
      <c r="AP14" s="516">
        <f aca="true" t="shared" si="25" ref="AP14:AP21">BC14</f>
        <v>2427840</v>
      </c>
      <c r="AQ14" s="516">
        <f aca="true" t="shared" si="26" ref="AQ14:AQ21">BD14</f>
        <v>2202201</v>
      </c>
      <c r="AR14" s="516">
        <f aca="true" t="shared" si="27" ref="AR14:AR21">BE14</f>
        <v>2444022</v>
      </c>
      <c r="AS14" s="516">
        <f>BF14</f>
        <v>2803227</v>
      </c>
      <c r="AT14" s="516">
        <f aca="true" t="shared" si="28" ref="AT14:AT21">BG14</f>
        <v>3810961</v>
      </c>
      <c r="AU14" s="517">
        <f t="shared" si="17"/>
        <v>30134429</v>
      </c>
      <c r="AV14" s="515">
        <v>1992542</v>
      </c>
      <c r="AW14" s="515">
        <v>2344349</v>
      </c>
      <c r="AX14" s="515">
        <v>2345633</v>
      </c>
      <c r="AY14" s="515">
        <v>2412492</v>
      </c>
      <c r="AZ14" s="515">
        <v>1978715</v>
      </c>
      <c r="BA14" s="515">
        <v>2768969</v>
      </c>
      <c r="BB14" s="515">
        <v>2603478</v>
      </c>
      <c r="BC14" s="515">
        <v>2427840</v>
      </c>
      <c r="BD14" s="515">
        <v>2202201</v>
      </c>
      <c r="BE14" s="515">
        <v>2444022</v>
      </c>
      <c r="BF14" s="515">
        <v>2803227</v>
      </c>
      <c r="BG14" s="515">
        <v>3810961</v>
      </c>
      <c r="BH14" s="517">
        <f>SUM(AV14:BG14)</f>
        <v>30134429</v>
      </c>
      <c r="BI14" s="518">
        <f t="shared" si="18"/>
        <v>2858781</v>
      </c>
      <c r="BJ14" s="519">
        <f t="shared" si="19"/>
        <v>0</v>
      </c>
      <c r="BK14" s="520">
        <f t="shared" si="20"/>
        <v>0</v>
      </c>
    </row>
    <row r="15" spans="1:63" ht="21" customHeight="1">
      <c r="A15" s="442" t="s">
        <v>127</v>
      </c>
      <c r="B15" s="443" t="s">
        <v>130</v>
      </c>
      <c r="C15" s="443" t="s">
        <v>133</v>
      </c>
      <c r="D15" s="443" t="s">
        <v>131</v>
      </c>
      <c r="E15" s="443" t="s">
        <v>138</v>
      </c>
      <c r="F15" s="513" t="s">
        <v>134</v>
      </c>
      <c r="G15" s="673" t="s">
        <v>139</v>
      </c>
      <c r="H15" s="515">
        <f t="shared" si="12"/>
        <v>50801007</v>
      </c>
      <c r="I15" s="516"/>
      <c r="J15" s="516">
        <v>0</v>
      </c>
      <c r="K15" s="516">
        <v>0</v>
      </c>
      <c r="L15" s="516">
        <v>0</v>
      </c>
      <c r="M15" s="516">
        <v>0</v>
      </c>
      <c r="N15" s="517">
        <f t="shared" si="1"/>
        <v>50801007</v>
      </c>
      <c r="O15" s="515"/>
      <c r="P15" s="516">
        <v>-39577245</v>
      </c>
      <c r="Q15" s="516">
        <v>90378252</v>
      </c>
      <c r="R15" s="516">
        <v>0</v>
      </c>
      <c r="S15" s="516">
        <v>0</v>
      </c>
      <c r="T15" s="516">
        <v>0</v>
      </c>
      <c r="U15" s="517">
        <f t="shared" si="3"/>
        <v>50801007</v>
      </c>
      <c r="V15" s="515">
        <v>0</v>
      </c>
      <c r="W15" s="516">
        <v>0</v>
      </c>
      <c r="X15" s="516">
        <v>0</v>
      </c>
      <c r="Y15" s="516">
        <v>0</v>
      </c>
      <c r="Z15" s="516">
        <v>0</v>
      </c>
      <c r="AA15" s="516">
        <v>0</v>
      </c>
      <c r="AB15" s="516">
        <v>0</v>
      </c>
      <c r="AC15" s="516">
        <v>0</v>
      </c>
      <c r="AD15" s="516">
        <v>15766115</v>
      </c>
      <c r="AE15" s="516">
        <v>6787182</v>
      </c>
      <c r="AF15" s="516">
        <v>2046717</v>
      </c>
      <c r="AG15" s="516">
        <v>775975</v>
      </c>
      <c r="AH15" s="517">
        <f t="shared" si="5"/>
        <v>25375989</v>
      </c>
      <c r="AI15" s="516">
        <f t="shared" si="21"/>
        <v>0</v>
      </c>
      <c r="AJ15" s="516">
        <f t="shared" si="22"/>
        <v>0</v>
      </c>
      <c r="AK15" s="516">
        <f t="shared" si="23"/>
        <v>0</v>
      </c>
      <c r="AL15" s="516">
        <f t="shared" si="14"/>
        <v>0</v>
      </c>
      <c r="AM15" s="516">
        <f t="shared" si="15"/>
        <v>0</v>
      </c>
      <c r="AN15" s="516">
        <f t="shared" si="15"/>
        <v>0</v>
      </c>
      <c r="AO15" s="516">
        <f t="shared" si="24"/>
        <v>0</v>
      </c>
      <c r="AP15" s="516">
        <f t="shared" si="25"/>
        <v>0</v>
      </c>
      <c r="AQ15" s="516">
        <f t="shared" si="26"/>
        <v>15766115</v>
      </c>
      <c r="AR15" s="516">
        <f t="shared" si="27"/>
        <v>6787182</v>
      </c>
      <c r="AS15" s="516">
        <f aca="true" t="shared" si="29" ref="AS15:AS21">BF15</f>
        <v>2046717</v>
      </c>
      <c r="AT15" s="516">
        <f t="shared" si="28"/>
        <v>775975</v>
      </c>
      <c r="AU15" s="517">
        <f t="shared" si="17"/>
        <v>25375989</v>
      </c>
      <c r="AV15" s="515">
        <v>0</v>
      </c>
      <c r="AW15" s="515">
        <v>0</v>
      </c>
      <c r="AX15" s="515">
        <v>0</v>
      </c>
      <c r="AY15" s="515">
        <v>0</v>
      </c>
      <c r="AZ15" s="515">
        <v>0</v>
      </c>
      <c r="BA15" s="515">
        <v>0</v>
      </c>
      <c r="BB15" s="515">
        <v>0</v>
      </c>
      <c r="BC15" s="515">
        <v>0</v>
      </c>
      <c r="BD15" s="515">
        <v>15766115</v>
      </c>
      <c r="BE15" s="515">
        <v>6787182</v>
      </c>
      <c r="BF15" s="515">
        <v>2046717</v>
      </c>
      <c r="BG15" s="515">
        <v>775975</v>
      </c>
      <c r="BH15" s="517">
        <f t="shared" si="7"/>
        <v>25375989</v>
      </c>
      <c r="BI15" s="518">
        <f t="shared" si="18"/>
        <v>25425018</v>
      </c>
      <c r="BJ15" s="519">
        <f t="shared" si="19"/>
        <v>0</v>
      </c>
      <c r="BK15" s="520">
        <f t="shared" si="20"/>
        <v>0</v>
      </c>
    </row>
    <row r="16" spans="1:63" ht="21" customHeight="1">
      <c r="A16" s="442" t="s">
        <v>127</v>
      </c>
      <c r="B16" s="443" t="s">
        <v>130</v>
      </c>
      <c r="C16" s="443" t="s">
        <v>133</v>
      </c>
      <c r="D16" s="443" t="s">
        <v>131</v>
      </c>
      <c r="E16" s="443" t="s">
        <v>140</v>
      </c>
      <c r="F16" s="513" t="s">
        <v>134</v>
      </c>
      <c r="G16" s="673" t="s">
        <v>141</v>
      </c>
      <c r="H16" s="515">
        <f t="shared" si="12"/>
        <v>80246856</v>
      </c>
      <c r="I16" s="516">
        <v>0</v>
      </c>
      <c r="J16" s="516">
        <v>2382834</v>
      </c>
      <c r="K16" s="516">
        <v>0</v>
      </c>
      <c r="L16" s="516">
        <v>0</v>
      </c>
      <c r="M16" s="516">
        <v>0</v>
      </c>
      <c r="N16" s="517">
        <f t="shared" si="1"/>
        <v>82629690</v>
      </c>
      <c r="O16" s="515">
        <v>67619064</v>
      </c>
      <c r="P16" s="516">
        <v>0</v>
      </c>
      <c r="Q16" s="516">
        <f>12627792+2382834</f>
        <v>15010626</v>
      </c>
      <c r="R16" s="516">
        <v>0</v>
      </c>
      <c r="S16" s="516">
        <v>0</v>
      </c>
      <c r="T16" s="516">
        <v>0</v>
      </c>
      <c r="U16" s="517">
        <f t="shared" si="3"/>
        <v>82629690</v>
      </c>
      <c r="V16" s="515">
        <v>6435382</v>
      </c>
      <c r="W16" s="516">
        <f>13281779-V16</f>
        <v>6846397</v>
      </c>
      <c r="X16" s="516">
        <f>19922669-(V16+W16)</f>
        <v>6640890</v>
      </c>
      <c r="Y16" s="516">
        <v>6640890</v>
      </c>
      <c r="Z16" s="516">
        <v>6640890</v>
      </c>
      <c r="AA16" s="516">
        <v>6630958</v>
      </c>
      <c r="AB16" s="516">
        <v>6640890</v>
      </c>
      <c r="AC16" s="516">
        <v>6640890</v>
      </c>
      <c r="AD16" s="516">
        <v>6640890</v>
      </c>
      <c r="AE16" s="516">
        <v>6640890</v>
      </c>
      <c r="AF16" s="516">
        <v>6640889</v>
      </c>
      <c r="AG16" s="516">
        <v>8577073</v>
      </c>
      <c r="AH16" s="517">
        <f t="shared" si="5"/>
        <v>81616929</v>
      </c>
      <c r="AI16" s="516">
        <f t="shared" si="21"/>
        <v>6435382</v>
      </c>
      <c r="AJ16" s="516">
        <f t="shared" si="22"/>
        <v>6846397</v>
      </c>
      <c r="AK16" s="516">
        <f t="shared" si="23"/>
        <v>6640890</v>
      </c>
      <c r="AL16" s="516">
        <f t="shared" si="14"/>
        <v>3320445</v>
      </c>
      <c r="AM16" s="516">
        <f t="shared" si="15"/>
        <v>9961335</v>
      </c>
      <c r="AN16" s="516">
        <f t="shared" si="15"/>
        <v>6630958</v>
      </c>
      <c r="AO16" s="516">
        <f t="shared" si="24"/>
        <v>6640890</v>
      </c>
      <c r="AP16" s="516">
        <f t="shared" si="25"/>
        <v>6640890</v>
      </c>
      <c r="AQ16" s="516">
        <f t="shared" si="26"/>
        <v>6640890</v>
      </c>
      <c r="AR16" s="516">
        <f t="shared" si="27"/>
        <v>6640890</v>
      </c>
      <c r="AS16" s="516">
        <f t="shared" si="29"/>
        <v>6640889</v>
      </c>
      <c r="AT16" s="516">
        <f t="shared" si="28"/>
        <v>8577073</v>
      </c>
      <c r="AU16" s="517">
        <f t="shared" si="17"/>
        <v>81616929</v>
      </c>
      <c r="AV16" s="515">
        <v>6435382</v>
      </c>
      <c r="AW16" s="515">
        <v>6846397</v>
      </c>
      <c r="AX16" s="515">
        <v>6640890</v>
      </c>
      <c r="AY16" s="515">
        <v>3320445</v>
      </c>
      <c r="AZ16" s="515">
        <v>9961335</v>
      </c>
      <c r="BA16" s="515">
        <v>6630958</v>
      </c>
      <c r="BB16" s="515">
        <v>6640890</v>
      </c>
      <c r="BC16" s="515">
        <v>6640890</v>
      </c>
      <c r="BD16" s="515">
        <v>6640890</v>
      </c>
      <c r="BE16" s="515">
        <v>6640890</v>
      </c>
      <c r="BF16" s="515">
        <v>6640889</v>
      </c>
      <c r="BG16" s="515">
        <v>8577073</v>
      </c>
      <c r="BH16" s="517">
        <f t="shared" si="7"/>
        <v>81616929</v>
      </c>
      <c r="BI16" s="518">
        <f t="shared" si="18"/>
        <v>1012761</v>
      </c>
      <c r="BJ16" s="519">
        <f t="shared" si="19"/>
        <v>0</v>
      </c>
      <c r="BK16" s="520">
        <f t="shared" si="20"/>
        <v>0</v>
      </c>
    </row>
    <row r="17" spans="1:63" ht="21" customHeight="1">
      <c r="A17" s="442" t="s">
        <v>127</v>
      </c>
      <c r="B17" s="443" t="s">
        <v>130</v>
      </c>
      <c r="C17" s="443" t="s">
        <v>133</v>
      </c>
      <c r="D17" s="443" t="s">
        <v>131</v>
      </c>
      <c r="E17" s="443" t="s">
        <v>142</v>
      </c>
      <c r="F17" s="513" t="s">
        <v>134</v>
      </c>
      <c r="G17" s="514" t="s">
        <v>143</v>
      </c>
      <c r="H17" s="515">
        <f t="shared" si="12"/>
        <v>1803721676</v>
      </c>
      <c r="I17" s="516">
        <v>0</v>
      </c>
      <c r="J17" s="516">
        <v>45877468</v>
      </c>
      <c r="K17" s="516">
        <v>0</v>
      </c>
      <c r="L17" s="516">
        <v>0</v>
      </c>
      <c r="M17" s="516">
        <v>0</v>
      </c>
      <c r="N17" s="517">
        <f t="shared" si="1"/>
        <v>1849599144</v>
      </c>
      <c r="O17" s="515">
        <v>1772972797</v>
      </c>
      <c r="P17" s="516">
        <v>0</v>
      </c>
      <c r="Q17" s="516">
        <f>30748879+45877468</f>
        <v>76626347</v>
      </c>
      <c r="R17" s="516">
        <v>0</v>
      </c>
      <c r="S17" s="516">
        <v>0</v>
      </c>
      <c r="T17" s="516">
        <v>0</v>
      </c>
      <c r="U17" s="517">
        <f t="shared" si="3"/>
        <v>1849599144</v>
      </c>
      <c r="V17" s="515">
        <v>31139079</v>
      </c>
      <c r="W17" s="516">
        <f>64608174-V17</f>
        <v>33469095</v>
      </c>
      <c r="X17" s="516">
        <f>103836515-(V17+W17)</f>
        <v>39228341</v>
      </c>
      <c r="Y17" s="516">
        <v>54215098</v>
      </c>
      <c r="Z17" s="516">
        <v>44692910</v>
      </c>
      <c r="AA17" s="516">
        <v>469021887</v>
      </c>
      <c r="AB17" s="516">
        <v>61810057</v>
      </c>
      <c r="AC17" s="516">
        <v>29639517</v>
      </c>
      <c r="AD17" s="516">
        <v>38211990</v>
      </c>
      <c r="AE17" s="516">
        <v>42448178</v>
      </c>
      <c r="AF17" s="516">
        <v>44662804</v>
      </c>
      <c r="AG17" s="516">
        <v>890664670</v>
      </c>
      <c r="AH17" s="517">
        <f t="shared" si="5"/>
        <v>1779203626</v>
      </c>
      <c r="AI17" s="516">
        <f t="shared" si="21"/>
        <v>30208634</v>
      </c>
      <c r="AJ17" s="516">
        <f t="shared" si="22"/>
        <v>33122611</v>
      </c>
      <c r="AK17" s="516">
        <f t="shared" si="23"/>
        <v>38911631</v>
      </c>
      <c r="AL17" s="516">
        <f t="shared" si="14"/>
        <v>54610129</v>
      </c>
      <c r="AM17" s="516">
        <f t="shared" si="15"/>
        <v>44692910</v>
      </c>
      <c r="AN17" s="516">
        <f t="shared" si="15"/>
        <v>467387107</v>
      </c>
      <c r="AO17" s="516">
        <f t="shared" si="24"/>
        <v>61738203</v>
      </c>
      <c r="AP17" s="516">
        <f t="shared" si="25"/>
        <v>29533759</v>
      </c>
      <c r="AQ17" s="516">
        <f t="shared" si="26"/>
        <v>40228152</v>
      </c>
      <c r="AR17" s="516">
        <f t="shared" si="27"/>
        <v>42705099</v>
      </c>
      <c r="AS17" s="516">
        <f t="shared" si="29"/>
        <v>44921270</v>
      </c>
      <c r="AT17" s="516">
        <f t="shared" si="28"/>
        <v>891144121</v>
      </c>
      <c r="AU17" s="517">
        <f t="shared" si="17"/>
        <v>1779203626</v>
      </c>
      <c r="AV17" s="515">
        <v>30208634</v>
      </c>
      <c r="AW17" s="515">
        <v>33122611</v>
      </c>
      <c r="AX17" s="515">
        <f>38495811+415820</f>
        <v>38911631</v>
      </c>
      <c r="AY17" s="515">
        <f>53290754+1319375</f>
        <v>54610129</v>
      </c>
      <c r="AZ17" s="515">
        <f>44297490+395420</f>
        <v>44692910</v>
      </c>
      <c r="BA17" s="515">
        <v>467387107</v>
      </c>
      <c r="BB17" s="515">
        <v>61738203</v>
      </c>
      <c r="BC17" s="515">
        <v>29533759</v>
      </c>
      <c r="BD17" s="515">
        <v>40228152</v>
      </c>
      <c r="BE17" s="515">
        <v>42705099</v>
      </c>
      <c r="BF17" s="515">
        <v>44921270</v>
      </c>
      <c r="BG17" s="515">
        <v>891144121</v>
      </c>
      <c r="BH17" s="517">
        <f t="shared" si="7"/>
        <v>1779203626</v>
      </c>
      <c r="BI17" s="518">
        <f t="shared" si="18"/>
        <v>70395518</v>
      </c>
      <c r="BJ17" s="519">
        <f t="shared" si="19"/>
        <v>0</v>
      </c>
      <c r="BK17" s="520">
        <f t="shared" si="20"/>
        <v>0</v>
      </c>
    </row>
    <row r="18" spans="1:63" ht="21" customHeight="1">
      <c r="A18" s="442" t="s">
        <v>127</v>
      </c>
      <c r="B18" s="443" t="s">
        <v>130</v>
      </c>
      <c r="C18" s="443" t="s">
        <v>133</v>
      </c>
      <c r="D18" s="443" t="s">
        <v>136</v>
      </c>
      <c r="E18" s="443" t="s">
        <v>144</v>
      </c>
      <c r="F18" s="513" t="s">
        <v>134</v>
      </c>
      <c r="G18" s="514" t="s">
        <v>145</v>
      </c>
      <c r="H18" s="515">
        <f t="shared" si="12"/>
        <v>225025000</v>
      </c>
      <c r="I18" s="516">
        <v>-1400000</v>
      </c>
      <c r="J18" s="516">
        <v>0</v>
      </c>
      <c r="K18" s="516">
        <v>0</v>
      </c>
      <c r="L18" s="516">
        <v>0</v>
      </c>
      <c r="M18" s="516">
        <v>0</v>
      </c>
      <c r="N18" s="517">
        <f t="shared" si="1"/>
        <v>223625000</v>
      </c>
      <c r="O18" s="515">
        <v>542775000</v>
      </c>
      <c r="P18" s="516">
        <f>-300000000-1250000-3500000-13000000*0-13000000-1400000</f>
        <v>-319150000</v>
      </c>
      <c r="Q18" s="516">
        <v>0</v>
      </c>
      <c r="R18" s="516">
        <v>0</v>
      </c>
      <c r="S18" s="516">
        <v>0</v>
      </c>
      <c r="T18" s="516">
        <v>0</v>
      </c>
      <c r="U18" s="517">
        <f t="shared" si="3"/>
        <v>223625000</v>
      </c>
      <c r="V18" s="515">
        <v>0</v>
      </c>
      <c r="W18" s="516">
        <v>9027000</v>
      </c>
      <c r="X18" s="516">
        <f>33219280-(V18+W18)</f>
        <v>24192280</v>
      </c>
      <c r="Y18" s="516">
        <v>25872385</v>
      </c>
      <c r="Z18" s="516">
        <v>37221330</v>
      </c>
      <c r="AA18" s="516">
        <v>2698520</v>
      </c>
      <c r="AB18" s="516">
        <v>34102000</v>
      </c>
      <c r="AC18" s="516">
        <v>4493440</v>
      </c>
      <c r="AD18" s="516">
        <v>18384520</v>
      </c>
      <c r="AE18" s="516">
        <v>800000</v>
      </c>
      <c r="AF18" s="516">
        <v>7533782</v>
      </c>
      <c r="AG18" s="516">
        <v>1558761</v>
      </c>
      <c r="AH18" s="517">
        <f t="shared" si="5"/>
        <v>165884018</v>
      </c>
      <c r="AI18" s="516">
        <f t="shared" si="21"/>
        <v>0</v>
      </c>
      <c r="AJ18" s="516">
        <f t="shared" si="22"/>
        <v>0</v>
      </c>
      <c r="AK18" s="516">
        <f t="shared" si="23"/>
        <v>0</v>
      </c>
      <c r="AL18" s="516">
        <f t="shared" si="14"/>
        <v>8838872</v>
      </c>
      <c r="AM18" s="516">
        <f t="shared" si="15"/>
        <v>14681640</v>
      </c>
      <c r="AN18" s="516">
        <f t="shared" si="15"/>
        <v>4515359</v>
      </c>
      <c r="AO18" s="516">
        <f t="shared" si="24"/>
        <v>6275593</v>
      </c>
      <c r="AP18" s="516">
        <f t="shared" si="25"/>
        <v>14566326</v>
      </c>
      <c r="AQ18" s="516">
        <f t="shared" si="26"/>
        <v>16313932</v>
      </c>
      <c r="AR18" s="516">
        <f t="shared" si="27"/>
        <v>26269272</v>
      </c>
      <c r="AS18" s="516">
        <f t="shared" si="29"/>
        <v>6598634</v>
      </c>
      <c r="AT18" s="516">
        <f t="shared" si="28"/>
        <v>15038591</v>
      </c>
      <c r="AU18" s="517">
        <f t="shared" si="17"/>
        <v>113098219</v>
      </c>
      <c r="AV18" s="515">
        <v>0</v>
      </c>
      <c r="AW18" s="515">
        <v>0</v>
      </c>
      <c r="AX18" s="515">
        <v>0</v>
      </c>
      <c r="AY18" s="515">
        <v>8838872</v>
      </c>
      <c r="AZ18" s="515">
        <v>14681640</v>
      </c>
      <c r="BA18" s="515">
        <v>4515359</v>
      </c>
      <c r="BB18" s="515">
        <v>6275593</v>
      </c>
      <c r="BC18" s="515">
        <v>14566326</v>
      </c>
      <c r="BD18" s="515">
        <v>16313932</v>
      </c>
      <c r="BE18" s="515">
        <v>26269272</v>
      </c>
      <c r="BF18" s="515">
        <v>6598634</v>
      </c>
      <c r="BG18" s="515">
        <f>15038593-2</f>
        <v>15038591</v>
      </c>
      <c r="BH18" s="517">
        <f t="shared" si="7"/>
        <v>113098219</v>
      </c>
      <c r="BI18" s="518">
        <f t="shared" si="18"/>
        <v>57740982</v>
      </c>
      <c r="BJ18" s="519">
        <f t="shared" si="19"/>
        <v>52785799</v>
      </c>
      <c r="BK18" s="520">
        <f t="shared" si="20"/>
        <v>0</v>
      </c>
    </row>
    <row r="19" spans="1:63" ht="21" customHeight="1">
      <c r="A19" s="442" t="s">
        <v>127</v>
      </c>
      <c r="B19" s="443" t="s">
        <v>130</v>
      </c>
      <c r="C19" s="443" t="s">
        <v>133</v>
      </c>
      <c r="D19" s="443" t="s">
        <v>138</v>
      </c>
      <c r="E19" s="443" t="s">
        <v>128</v>
      </c>
      <c r="F19" s="513" t="s">
        <v>134</v>
      </c>
      <c r="G19" s="514" t="s">
        <v>146</v>
      </c>
      <c r="H19" s="515">
        <f t="shared" si="12"/>
        <v>786243000</v>
      </c>
      <c r="I19" s="516">
        <v>0</v>
      </c>
      <c r="J19" s="516">
        <v>21990610</v>
      </c>
      <c r="K19" s="516">
        <v>0</v>
      </c>
      <c r="L19" s="516">
        <v>0</v>
      </c>
      <c r="M19" s="516">
        <v>0</v>
      </c>
      <c r="N19" s="517">
        <f t="shared" si="1"/>
        <v>808233610</v>
      </c>
      <c r="O19" s="515">
        <v>723775826</v>
      </c>
      <c r="P19" s="516">
        <v>0</v>
      </c>
      <c r="Q19" s="516">
        <f>62467174+21990610</f>
        <v>84457784</v>
      </c>
      <c r="R19" s="516">
        <v>0</v>
      </c>
      <c r="S19" s="516">
        <v>0</v>
      </c>
      <c r="T19" s="516">
        <v>0</v>
      </c>
      <c r="U19" s="517">
        <f t="shared" si="3"/>
        <v>808233610</v>
      </c>
      <c r="V19" s="515">
        <v>38130106</v>
      </c>
      <c r="W19" s="516">
        <f>92210295-V19</f>
        <v>54080189</v>
      </c>
      <c r="X19" s="516">
        <f>155128944-(V19+W19)</f>
        <v>62918649</v>
      </c>
      <c r="Y19" s="516">
        <v>61362879</v>
      </c>
      <c r="Z19" s="516">
        <v>60364554</v>
      </c>
      <c r="AA19" s="516">
        <v>33242651</v>
      </c>
      <c r="AB19" s="516">
        <v>86437480</v>
      </c>
      <c r="AC19" s="516">
        <v>35859066</v>
      </c>
      <c r="AD19" s="516">
        <v>35964148</v>
      </c>
      <c r="AE19" s="516">
        <v>40036575</v>
      </c>
      <c r="AF19" s="516">
        <v>113091355</v>
      </c>
      <c r="AG19" s="516">
        <v>157091288</v>
      </c>
      <c r="AH19" s="517">
        <f t="shared" si="5"/>
        <v>778578940</v>
      </c>
      <c r="AI19" s="516">
        <f t="shared" si="21"/>
        <v>34526822</v>
      </c>
      <c r="AJ19" s="516">
        <f t="shared" si="22"/>
        <v>53873438</v>
      </c>
      <c r="AK19" s="516">
        <f t="shared" si="23"/>
        <v>66360342</v>
      </c>
      <c r="AL19" s="516">
        <f t="shared" si="14"/>
        <v>59688606</v>
      </c>
      <c r="AM19" s="516">
        <f t="shared" si="15"/>
        <v>59714124</v>
      </c>
      <c r="AN19" s="516">
        <f t="shared" si="15"/>
        <v>32931699</v>
      </c>
      <c r="AO19" s="516">
        <f t="shared" si="24"/>
        <v>88128952</v>
      </c>
      <c r="AP19" s="516">
        <f t="shared" si="25"/>
        <v>35708417</v>
      </c>
      <c r="AQ19" s="516">
        <f t="shared" si="26"/>
        <v>36276991</v>
      </c>
      <c r="AR19" s="516">
        <f t="shared" si="27"/>
        <v>37738102</v>
      </c>
      <c r="AS19" s="516">
        <f t="shared" si="29"/>
        <v>115041011</v>
      </c>
      <c r="AT19" s="516">
        <f t="shared" si="28"/>
        <v>158590436</v>
      </c>
      <c r="AU19" s="517">
        <f t="shared" si="17"/>
        <v>778578940</v>
      </c>
      <c r="AV19" s="515">
        <v>34526822</v>
      </c>
      <c r="AW19" s="515">
        <v>53873438</v>
      </c>
      <c r="AX19" s="515">
        <v>66360342</v>
      </c>
      <c r="AY19" s="515">
        <v>59688606</v>
      </c>
      <c r="AZ19" s="515">
        <v>59714124</v>
      </c>
      <c r="BA19" s="515">
        <v>32931699</v>
      </c>
      <c r="BB19" s="515">
        <v>88128952</v>
      </c>
      <c r="BC19" s="515">
        <v>35708417</v>
      </c>
      <c r="BD19" s="515">
        <v>36276991</v>
      </c>
      <c r="BE19" s="515">
        <v>37738102</v>
      </c>
      <c r="BF19" s="515">
        <v>115041011</v>
      </c>
      <c r="BG19" s="515">
        <v>158590436</v>
      </c>
      <c r="BH19" s="517">
        <f t="shared" si="7"/>
        <v>778578940</v>
      </c>
      <c r="BI19" s="518">
        <f t="shared" si="18"/>
        <v>29654670</v>
      </c>
      <c r="BJ19" s="519">
        <f t="shared" si="19"/>
        <v>0</v>
      </c>
      <c r="BK19" s="520">
        <f t="shared" si="20"/>
        <v>0</v>
      </c>
    </row>
    <row r="20" spans="1:63" ht="14.25" customHeight="1">
      <c r="A20" s="442" t="s">
        <v>127</v>
      </c>
      <c r="B20" s="443" t="s">
        <v>130</v>
      </c>
      <c r="C20" s="443" t="s">
        <v>133</v>
      </c>
      <c r="D20" s="443" t="s">
        <v>140</v>
      </c>
      <c r="E20" s="443" t="s">
        <v>128</v>
      </c>
      <c r="F20" s="513" t="s">
        <v>134</v>
      </c>
      <c r="G20" s="514" t="s">
        <v>147</v>
      </c>
      <c r="H20" s="515">
        <f t="shared" si="12"/>
        <v>1411809613</v>
      </c>
      <c r="I20" s="516"/>
      <c r="J20" s="516">
        <v>38208954</v>
      </c>
      <c r="K20" s="516">
        <v>0</v>
      </c>
      <c r="L20" s="516">
        <v>0</v>
      </c>
      <c r="M20" s="516">
        <v>0</v>
      </c>
      <c r="N20" s="517">
        <f t="shared" si="1"/>
        <v>1450018567</v>
      </c>
      <c r="O20" s="515">
        <v>1481776420</v>
      </c>
      <c r="P20" s="516">
        <v>-69966807</v>
      </c>
      <c r="Q20" s="516">
        <f>38208954</f>
        <v>38208954</v>
      </c>
      <c r="R20" s="516">
        <v>0</v>
      </c>
      <c r="S20" s="516">
        <v>0</v>
      </c>
      <c r="T20" s="516">
        <v>0</v>
      </c>
      <c r="U20" s="517">
        <f t="shared" si="3"/>
        <v>1450018567</v>
      </c>
      <c r="V20" s="515">
        <v>35937108</v>
      </c>
      <c r="W20" s="516">
        <f>128496791-V20</f>
        <v>92559683</v>
      </c>
      <c r="X20" s="516">
        <f>230649982-(V20+W20)</f>
        <v>102153191</v>
      </c>
      <c r="Y20" s="516">
        <v>101752751</v>
      </c>
      <c r="Z20" s="516">
        <v>100535090</v>
      </c>
      <c r="AA20" s="516">
        <v>78511703</v>
      </c>
      <c r="AB20" s="516">
        <v>172669859</v>
      </c>
      <c r="AC20" s="516">
        <v>79399146</v>
      </c>
      <c r="AD20" s="516">
        <v>78865242</v>
      </c>
      <c r="AE20" s="516">
        <v>79771472</v>
      </c>
      <c r="AF20" s="516">
        <v>127517586</v>
      </c>
      <c r="AG20" s="516">
        <v>324136123</v>
      </c>
      <c r="AH20" s="517">
        <f t="shared" si="5"/>
        <v>1373808954</v>
      </c>
      <c r="AI20" s="516">
        <f t="shared" si="21"/>
        <v>32163980</v>
      </c>
      <c r="AJ20" s="516">
        <f t="shared" si="22"/>
        <v>90727839</v>
      </c>
      <c r="AK20" s="516">
        <f t="shared" si="23"/>
        <v>107455827</v>
      </c>
      <c r="AL20" s="516">
        <f t="shared" si="14"/>
        <v>98757794</v>
      </c>
      <c r="AM20" s="516">
        <f t="shared" si="15"/>
        <v>101594437</v>
      </c>
      <c r="AN20" s="516">
        <f t="shared" si="15"/>
        <v>78389078</v>
      </c>
      <c r="AO20" s="516">
        <f t="shared" si="24"/>
        <v>172747591</v>
      </c>
      <c r="AP20" s="516">
        <f t="shared" si="25"/>
        <v>79732394</v>
      </c>
      <c r="AQ20" s="516">
        <f t="shared" si="26"/>
        <v>78865139</v>
      </c>
      <c r="AR20" s="516">
        <f t="shared" si="27"/>
        <v>78803337</v>
      </c>
      <c r="AS20" s="516">
        <f t="shared" si="29"/>
        <v>127638956</v>
      </c>
      <c r="AT20" s="516">
        <f t="shared" si="28"/>
        <v>326932582</v>
      </c>
      <c r="AU20" s="517">
        <f t="shared" si="17"/>
        <v>1373808954</v>
      </c>
      <c r="AV20" s="515">
        <v>32163980</v>
      </c>
      <c r="AW20" s="515">
        <v>90727839</v>
      </c>
      <c r="AX20" s="515">
        <v>107455827</v>
      </c>
      <c r="AY20" s="515">
        <v>98757794</v>
      </c>
      <c r="AZ20" s="515">
        <f>101338137+256300</f>
        <v>101594437</v>
      </c>
      <c r="BA20" s="515">
        <v>78389078</v>
      </c>
      <c r="BB20" s="515">
        <v>172747591</v>
      </c>
      <c r="BC20" s="515">
        <v>79732394</v>
      </c>
      <c r="BD20" s="515">
        <v>78865139</v>
      </c>
      <c r="BE20" s="515">
        <v>78803337</v>
      </c>
      <c r="BF20" s="515">
        <v>127638956</v>
      </c>
      <c r="BG20" s="515">
        <v>326932582</v>
      </c>
      <c r="BH20" s="517">
        <f t="shared" si="7"/>
        <v>1373808954</v>
      </c>
      <c r="BI20" s="518">
        <f t="shared" si="18"/>
        <v>76209613</v>
      </c>
      <c r="BJ20" s="519">
        <f t="shared" si="19"/>
        <v>0</v>
      </c>
      <c r="BK20" s="520">
        <f t="shared" si="20"/>
        <v>0</v>
      </c>
    </row>
    <row r="21" spans="1:63" ht="21" customHeight="1">
      <c r="A21" s="442" t="s">
        <v>127</v>
      </c>
      <c r="B21" s="443" t="s">
        <v>130</v>
      </c>
      <c r="C21" s="443" t="s">
        <v>133</v>
      </c>
      <c r="D21" s="443" t="s">
        <v>148</v>
      </c>
      <c r="E21" s="443" t="s">
        <v>128</v>
      </c>
      <c r="F21" s="513" t="s">
        <v>134</v>
      </c>
      <c r="G21" s="514" t="s">
        <v>149</v>
      </c>
      <c r="H21" s="515">
        <f t="shared" si="12"/>
        <v>4750000</v>
      </c>
      <c r="I21" s="516">
        <v>0</v>
      </c>
      <c r="J21" s="516">
        <v>1400000</v>
      </c>
      <c r="K21" s="516">
        <v>0</v>
      </c>
      <c r="L21" s="516">
        <v>0</v>
      </c>
      <c r="M21" s="516">
        <v>0</v>
      </c>
      <c r="N21" s="517">
        <f t="shared" si="1"/>
        <v>6150000</v>
      </c>
      <c r="O21" s="515">
        <v>0</v>
      </c>
      <c r="P21" s="516">
        <v>0</v>
      </c>
      <c r="Q21" s="516">
        <f>1250000+3500000+1400000</f>
        <v>6150000</v>
      </c>
      <c r="R21" s="516">
        <v>0</v>
      </c>
      <c r="S21" s="516">
        <v>0</v>
      </c>
      <c r="T21" s="516">
        <v>0</v>
      </c>
      <c r="U21" s="517">
        <f t="shared" si="3"/>
        <v>6150000</v>
      </c>
      <c r="V21" s="515">
        <v>0</v>
      </c>
      <c r="W21" s="516">
        <v>0</v>
      </c>
      <c r="X21" s="516">
        <v>0</v>
      </c>
      <c r="Y21" s="516">
        <v>0</v>
      </c>
      <c r="Z21" s="516">
        <v>0</v>
      </c>
      <c r="AA21" s="516">
        <v>0</v>
      </c>
      <c r="AB21" s="516">
        <v>0</v>
      </c>
      <c r="AC21" s="516">
        <v>1250000</v>
      </c>
      <c r="AD21" s="516">
        <v>0</v>
      </c>
      <c r="AE21" s="516">
        <v>0</v>
      </c>
      <c r="AF21" s="516">
        <v>3500000</v>
      </c>
      <c r="AG21" s="516">
        <v>1400000</v>
      </c>
      <c r="AH21" s="517">
        <f t="shared" si="5"/>
        <v>6150000</v>
      </c>
      <c r="AI21" s="516">
        <f t="shared" si="21"/>
        <v>0</v>
      </c>
      <c r="AJ21" s="516">
        <f t="shared" si="22"/>
        <v>0</v>
      </c>
      <c r="AK21" s="516">
        <f t="shared" si="23"/>
        <v>0</v>
      </c>
      <c r="AL21" s="516">
        <f t="shared" si="14"/>
        <v>0</v>
      </c>
      <c r="AM21" s="516">
        <f t="shared" si="15"/>
        <v>0</v>
      </c>
      <c r="AN21" s="516">
        <f t="shared" si="15"/>
        <v>0</v>
      </c>
      <c r="AO21" s="516">
        <f t="shared" si="24"/>
        <v>0</v>
      </c>
      <c r="AP21" s="516">
        <f t="shared" si="25"/>
        <v>1250000</v>
      </c>
      <c r="AQ21" s="516">
        <f t="shared" si="26"/>
        <v>0</v>
      </c>
      <c r="AR21" s="516">
        <f t="shared" si="27"/>
        <v>0</v>
      </c>
      <c r="AS21" s="516">
        <f t="shared" si="29"/>
        <v>3500000</v>
      </c>
      <c r="AT21" s="516">
        <f t="shared" si="28"/>
        <v>1400000</v>
      </c>
      <c r="AU21" s="517">
        <f t="shared" si="17"/>
        <v>6150000</v>
      </c>
      <c r="AV21" s="515">
        <v>0</v>
      </c>
      <c r="AW21" s="515">
        <v>0</v>
      </c>
      <c r="AX21" s="515">
        <v>0</v>
      </c>
      <c r="AY21" s="515">
        <v>0</v>
      </c>
      <c r="AZ21" s="515">
        <v>0</v>
      </c>
      <c r="BA21" s="515">
        <v>0</v>
      </c>
      <c r="BB21" s="515">
        <v>0</v>
      </c>
      <c r="BC21" s="515">
        <v>1250000</v>
      </c>
      <c r="BD21" s="515">
        <v>0</v>
      </c>
      <c r="BE21" s="515">
        <v>0</v>
      </c>
      <c r="BF21" s="515">
        <v>3500000</v>
      </c>
      <c r="BG21" s="515">
        <v>1400000</v>
      </c>
      <c r="BH21" s="517">
        <f t="shared" si="7"/>
        <v>6150000</v>
      </c>
      <c r="BI21" s="518">
        <f t="shared" si="18"/>
        <v>0</v>
      </c>
      <c r="BJ21" s="519">
        <f t="shared" si="19"/>
        <v>0</v>
      </c>
      <c r="BK21" s="520">
        <f t="shared" si="20"/>
        <v>0</v>
      </c>
    </row>
    <row r="22" spans="1:63" s="101" customFormat="1" ht="21" customHeight="1">
      <c r="A22" s="439" t="s">
        <v>127</v>
      </c>
      <c r="B22" s="440" t="s">
        <v>130</v>
      </c>
      <c r="C22" s="441" t="s">
        <v>136</v>
      </c>
      <c r="D22" s="440" t="s">
        <v>128</v>
      </c>
      <c r="E22" s="440" t="s">
        <v>128</v>
      </c>
      <c r="F22" s="504"/>
      <c r="G22" s="505" t="s">
        <v>150</v>
      </c>
      <c r="H22" s="506">
        <f aca="true" t="shared" si="30" ref="H22:M22">SUM(H23:H26)</f>
        <v>4363469628</v>
      </c>
      <c r="I22" s="507">
        <f t="shared" si="30"/>
        <v>0</v>
      </c>
      <c r="J22" s="507">
        <f t="shared" si="30"/>
        <v>0</v>
      </c>
      <c r="K22" s="507">
        <f t="shared" si="30"/>
        <v>0</v>
      </c>
      <c r="L22" s="507">
        <f t="shared" si="30"/>
        <v>0</v>
      </c>
      <c r="M22" s="507">
        <f t="shared" si="30"/>
        <v>0</v>
      </c>
      <c r="N22" s="508">
        <f t="shared" si="1"/>
        <v>4363469628</v>
      </c>
      <c r="O22" s="506">
        <f aca="true" t="shared" si="31" ref="O22:T22">SUM(O23:O26)</f>
        <v>3624698281</v>
      </c>
      <c r="P22" s="507">
        <f t="shared" si="31"/>
        <v>-174486123</v>
      </c>
      <c r="Q22" s="507">
        <f t="shared" si="31"/>
        <v>408657470</v>
      </c>
      <c r="R22" s="507">
        <f t="shared" si="31"/>
        <v>0</v>
      </c>
      <c r="S22" s="507">
        <f t="shared" si="31"/>
        <v>0</v>
      </c>
      <c r="T22" s="507">
        <f t="shared" si="31"/>
        <v>504600000</v>
      </c>
      <c r="U22" s="508">
        <f aca="true" t="shared" si="32" ref="U22:U34">SUM(O22:T22)</f>
        <v>4363469628</v>
      </c>
      <c r="V22" s="506">
        <f aca="true" t="shared" si="33" ref="V22:AG22">SUM(V23:V26)</f>
        <v>469098543</v>
      </c>
      <c r="W22" s="507">
        <f t="shared" si="33"/>
        <v>244326432</v>
      </c>
      <c r="X22" s="507">
        <f t="shared" si="33"/>
        <v>598660224</v>
      </c>
      <c r="Y22" s="507">
        <f t="shared" si="33"/>
        <v>513559054</v>
      </c>
      <c r="Z22" s="507">
        <f t="shared" si="33"/>
        <v>343052326</v>
      </c>
      <c r="AA22" s="507">
        <f t="shared" si="33"/>
        <v>396874213</v>
      </c>
      <c r="AB22" s="509">
        <f t="shared" si="33"/>
        <v>353747289</v>
      </c>
      <c r="AC22" s="507">
        <f t="shared" si="33"/>
        <v>220330084</v>
      </c>
      <c r="AD22" s="507">
        <f t="shared" si="33"/>
        <v>263622400</v>
      </c>
      <c r="AE22" s="507">
        <f t="shared" si="33"/>
        <v>266458096</v>
      </c>
      <c r="AF22" s="507">
        <f t="shared" si="33"/>
        <v>195394740</v>
      </c>
      <c r="AG22" s="507">
        <f t="shared" si="33"/>
        <v>482725954</v>
      </c>
      <c r="AH22" s="508">
        <f aca="true" t="shared" si="34" ref="AH22:AH32">SUM(V22:AG22)</f>
        <v>4347849355</v>
      </c>
      <c r="AI22" s="506">
        <f aca="true" t="shared" si="35" ref="AI22:AT22">SUM(AI23:AI26)</f>
        <v>38315964</v>
      </c>
      <c r="AJ22" s="507">
        <f t="shared" si="35"/>
        <v>210798417</v>
      </c>
      <c r="AK22" s="507">
        <f t="shared" si="35"/>
        <v>246998199</v>
      </c>
      <c r="AL22" s="507">
        <f t="shared" si="35"/>
        <v>297208580</v>
      </c>
      <c r="AM22" s="507">
        <f t="shared" si="35"/>
        <v>373444128</v>
      </c>
      <c r="AN22" s="507">
        <f t="shared" si="35"/>
        <v>398188976</v>
      </c>
      <c r="AO22" s="509">
        <f t="shared" si="35"/>
        <v>493384918</v>
      </c>
      <c r="AP22" s="507">
        <f t="shared" si="35"/>
        <v>302014785</v>
      </c>
      <c r="AQ22" s="507">
        <f t="shared" si="35"/>
        <v>364168550</v>
      </c>
      <c r="AR22" s="507">
        <f t="shared" si="35"/>
        <v>395745668</v>
      </c>
      <c r="AS22" s="507">
        <f t="shared" si="35"/>
        <v>393763289</v>
      </c>
      <c r="AT22" s="507">
        <f t="shared" si="35"/>
        <v>593940344</v>
      </c>
      <c r="AU22" s="508">
        <f>SUM(AI22:AT22)</f>
        <v>4107971818</v>
      </c>
      <c r="AV22" s="506">
        <f aca="true" t="shared" si="36" ref="AV22:BG22">SUM(AV23:AV26)</f>
        <v>38315964</v>
      </c>
      <c r="AW22" s="507">
        <f t="shared" si="36"/>
        <v>210798417</v>
      </c>
      <c r="AX22" s="507">
        <f t="shared" si="36"/>
        <v>246998199</v>
      </c>
      <c r="AY22" s="507">
        <f t="shared" si="36"/>
        <v>297208580</v>
      </c>
      <c r="AZ22" s="507">
        <f t="shared" si="36"/>
        <v>373444128</v>
      </c>
      <c r="BA22" s="507">
        <f t="shared" si="36"/>
        <v>398188976</v>
      </c>
      <c r="BB22" s="509">
        <f t="shared" si="36"/>
        <v>493384918</v>
      </c>
      <c r="BC22" s="507">
        <f t="shared" si="36"/>
        <v>302014785</v>
      </c>
      <c r="BD22" s="507">
        <f t="shared" si="36"/>
        <v>364168550</v>
      </c>
      <c r="BE22" s="507">
        <f t="shared" si="36"/>
        <v>395745668</v>
      </c>
      <c r="BF22" s="507">
        <f t="shared" si="36"/>
        <v>393763289</v>
      </c>
      <c r="BG22" s="507">
        <f t="shared" si="36"/>
        <v>593940344</v>
      </c>
      <c r="BH22" s="508">
        <f aca="true" t="shared" si="37" ref="BH22:BH34">SUM(AV22:BG22)</f>
        <v>4107971818</v>
      </c>
      <c r="BI22" s="510">
        <f aca="true" t="shared" si="38" ref="BI22:BI37">U22-AH22</f>
        <v>15620273</v>
      </c>
      <c r="BJ22" s="511">
        <f aca="true" t="shared" si="39" ref="BJ22:BJ37">AH22-AU22</f>
        <v>239877537</v>
      </c>
      <c r="BK22" s="512">
        <f aca="true" t="shared" si="40" ref="BK22:BK37">AU22-BH22</f>
        <v>0</v>
      </c>
    </row>
    <row r="23" spans="1:63" ht="21" customHeight="1">
      <c r="A23" s="442" t="s">
        <v>127</v>
      </c>
      <c r="B23" s="443" t="s">
        <v>130</v>
      </c>
      <c r="C23" s="443" t="s">
        <v>151</v>
      </c>
      <c r="D23" s="443" t="s">
        <v>131</v>
      </c>
      <c r="E23" s="443" t="s">
        <v>128</v>
      </c>
      <c r="F23" s="513" t="s">
        <v>134</v>
      </c>
      <c r="G23" s="514" t="s">
        <v>152</v>
      </c>
      <c r="H23" s="515">
        <f>U23-SUM(I23:M23)</f>
        <v>543051837</v>
      </c>
      <c r="I23" s="516">
        <v>0</v>
      </c>
      <c r="J23" s="516"/>
      <c r="K23" s="516">
        <v>0</v>
      </c>
      <c r="L23" s="516"/>
      <c r="M23" s="516">
        <v>0</v>
      </c>
      <c r="N23" s="517">
        <f t="shared" si="1"/>
        <v>543051837</v>
      </c>
      <c r="O23" s="515">
        <v>384394367</v>
      </c>
      <c r="P23" s="516">
        <v>0</v>
      </c>
      <c r="Q23" s="516">
        <f>50000000+108657470</f>
        <v>158657470</v>
      </c>
      <c r="R23" s="516">
        <v>0</v>
      </c>
      <c r="S23" s="516">
        <v>0</v>
      </c>
      <c r="T23" s="516">
        <v>0</v>
      </c>
      <c r="U23" s="517">
        <f t="shared" si="32"/>
        <v>543051837</v>
      </c>
      <c r="V23" s="515">
        <v>29287600</v>
      </c>
      <c r="W23" s="516">
        <f>32795492-V23</f>
        <v>3507892</v>
      </c>
      <c r="X23" s="516">
        <f>247784580-(W23+V23)</f>
        <v>214989088</v>
      </c>
      <c r="Y23" s="516">
        <v>46359674</v>
      </c>
      <c r="Z23" s="516">
        <v>16339387</v>
      </c>
      <c r="AA23" s="516">
        <v>34295459</v>
      </c>
      <c r="AB23" s="521">
        <v>12356758</v>
      </c>
      <c r="AC23" s="516">
        <v>40190511</v>
      </c>
      <c r="AD23" s="516">
        <v>10278066</v>
      </c>
      <c r="AE23" s="516">
        <f>5593758</f>
        <v>5593758</v>
      </c>
      <c r="AF23" s="516">
        <v>23582566</v>
      </c>
      <c r="AG23" s="516">
        <f>97827732+148902</f>
        <v>97976634</v>
      </c>
      <c r="AH23" s="517">
        <f t="shared" si="34"/>
        <v>534757393</v>
      </c>
      <c r="AI23" s="516">
        <f t="shared" si="21"/>
        <v>0</v>
      </c>
      <c r="AJ23" s="516">
        <f aca="true" t="shared" si="41" ref="AJ23:AT26">AW23</f>
        <v>5726907</v>
      </c>
      <c r="AK23" s="516">
        <f t="shared" si="41"/>
        <v>10945743</v>
      </c>
      <c r="AL23" s="516">
        <f t="shared" si="41"/>
        <v>34007311</v>
      </c>
      <c r="AM23" s="516">
        <f t="shared" si="41"/>
        <v>20233419</v>
      </c>
      <c r="AN23" s="516">
        <f t="shared" si="15"/>
        <v>14550937</v>
      </c>
      <c r="AO23" s="516">
        <f t="shared" si="41"/>
        <v>74064691</v>
      </c>
      <c r="AP23" s="516">
        <f t="shared" si="41"/>
        <v>52304762</v>
      </c>
      <c r="AQ23" s="516">
        <f t="shared" si="41"/>
        <v>53112828</v>
      </c>
      <c r="AR23" s="516">
        <f t="shared" si="41"/>
        <v>82933311</v>
      </c>
      <c r="AS23" s="516">
        <f t="shared" si="41"/>
        <v>25390102</v>
      </c>
      <c r="AT23" s="516">
        <f t="shared" si="41"/>
        <v>111514678</v>
      </c>
      <c r="AU23" s="517">
        <f>SUM(AI23:AT23)</f>
        <v>484784689</v>
      </c>
      <c r="AV23" s="515">
        <v>0</v>
      </c>
      <c r="AW23" s="516">
        <v>5726907</v>
      </c>
      <c r="AX23" s="516">
        <v>10945743</v>
      </c>
      <c r="AY23" s="516">
        <f>33999311+8000</f>
        <v>34007311</v>
      </c>
      <c r="AZ23" s="516">
        <f>18186019+2047400</f>
        <v>20233419</v>
      </c>
      <c r="BA23" s="516">
        <v>14550937</v>
      </c>
      <c r="BB23" s="521">
        <v>74064691</v>
      </c>
      <c r="BC23" s="516">
        <v>52304762</v>
      </c>
      <c r="BD23" s="516">
        <v>53112828</v>
      </c>
      <c r="BE23" s="516">
        <v>82933311</v>
      </c>
      <c r="BF23" s="516">
        <v>25390102</v>
      </c>
      <c r="BG23" s="516">
        <f>111514678</f>
        <v>111514678</v>
      </c>
      <c r="BH23" s="517">
        <f t="shared" si="37"/>
        <v>484784689</v>
      </c>
      <c r="BI23" s="518">
        <f t="shared" si="38"/>
        <v>8294444</v>
      </c>
      <c r="BJ23" s="519">
        <f t="shared" si="39"/>
        <v>49972704</v>
      </c>
      <c r="BK23" s="520">
        <f t="shared" si="40"/>
        <v>0</v>
      </c>
    </row>
    <row r="24" spans="1:63" ht="21" customHeight="1">
      <c r="A24" s="442" t="s">
        <v>127</v>
      </c>
      <c r="B24" s="443" t="s">
        <v>130</v>
      </c>
      <c r="C24" s="443" t="s">
        <v>151</v>
      </c>
      <c r="D24" s="443" t="s">
        <v>136</v>
      </c>
      <c r="E24" s="443" t="s">
        <v>128</v>
      </c>
      <c r="F24" s="513" t="s">
        <v>134</v>
      </c>
      <c r="G24" s="514" t="s">
        <v>153</v>
      </c>
      <c r="H24" s="515">
        <f>U24-SUM(I24:M24)</f>
        <v>2975181746</v>
      </c>
      <c r="I24" s="516"/>
      <c r="J24" s="516">
        <v>0</v>
      </c>
      <c r="K24" s="516">
        <v>0</v>
      </c>
      <c r="L24" s="516">
        <v>0</v>
      </c>
      <c r="M24" s="516">
        <v>0</v>
      </c>
      <c r="N24" s="517">
        <f t="shared" si="1"/>
        <v>2975181746</v>
      </c>
      <c r="O24" s="515">
        <v>2833839216</v>
      </c>
      <c r="P24" s="516">
        <v>-108657470</v>
      </c>
      <c r="Q24" s="516">
        <v>250000000</v>
      </c>
      <c r="R24" s="516">
        <v>0</v>
      </c>
      <c r="S24" s="516">
        <v>0</v>
      </c>
      <c r="T24" s="516">
        <v>0</v>
      </c>
      <c r="U24" s="517">
        <f t="shared" si="32"/>
        <v>2975181746</v>
      </c>
      <c r="V24" s="515">
        <v>439381919</v>
      </c>
      <c r="W24" s="516">
        <f>661497475-V24</f>
        <v>222115556</v>
      </c>
      <c r="X24" s="516">
        <f>995035120-(W24+V24)</f>
        <v>333537645</v>
      </c>
      <c r="Y24" s="516">
        <v>430755190</v>
      </c>
      <c r="Z24" s="516">
        <v>275036731</v>
      </c>
      <c r="AA24" s="516">
        <v>356168988</v>
      </c>
      <c r="AB24" s="521">
        <v>296112701</v>
      </c>
      <c r="AC24" s="516">
        <v>175039034</v>
      </c>
      <c r="AD24" s="516">
        <v>216304746</v>
      </c>
      <c r="AE24" s="516">
        <v>252428376</v>
      </c>
      <c r="AF24" s="516">
        <v>-21699140</v>
      </c>
      <c r="AG24" s="516">
        <v>0</v>
      </c>
      <c r="AH24" s="517">
        <f t="shared" si="34"/>
        <v>2975181746</v>
      </c>
      <c r="AI24" s="516">
        <f t="shared" si="21"/>
        <v>38187840</v>
      </c>
      <c r="AJ24" s="516">
        <f t="shared" si="41"/>
        <v>186256437</v>
      </c>
      <c r="AK24" s="516">
        <f t="shared" si="41"/>
        <v>185918965</v>
      </c>
      <c r="AL24" s="516">
        <f t="shared" si="41"/>
        <v>226825570</v>
      </c>
      <c r="AM24" s="516">
        <f t="shared" si="41"/>
        <v>301534501</v>
      </c>
      <c r="AN24" s="516">
        <f t="shared" si="15"/>
        <v>377652547</v>
      </c>
      <c r="AO24" s="516">
        <f t="shared" si="41"/>
        <v>409356339</v>
      </c>
      <c r="AP24" s="516">
        <f t="shared" si="41"/>
        <v>247253270</v>
      </c>
      <c r="AQ24" s="516">
        <f t="shared" si="41"/>
        <v>273966339</v>
      </c>
      <c r="AR24" s="516">
        <f t="shared" si="41"/>
        <v>304154413</v>
      </c>
      <c r="AS24" s="516">
        <f t="shared" si="41"/>
        <v>319198865</v>
      </c>
      <c r="AT24" s="516">
        <f t="shared" si="41"/>
        <v>104876660</v>
      </c>
      <c r="AU24" s="517">
        <f aca="true" t="shared" si="42" ref="AU24:AU37">SUM(AI24:AT24)</f>
        <v>2975181746</v>
      </c>
      <c r="AV24" s="515">
        <v>38187840</v>
      </c>
      <c r="AW24" s="516">
        <v>186256437</v>
      </c>
      <c r="AX24" s="516">
        <f>184716275+1202690</f>
        <v>185918965</v>
      </c>
      <c r="AY24" s="516">
        <f>225444931+1380639</f>
        <v>226825570</v>
      </c>
      <c r="AZ24" s="516">
        <f>297914625+3619876</f>
        <v>301534501</v>
      </c>
      <c r="BA24" s="521">
        <v>377652547</v>
      </c>
      <c r="BB24" s="521">
        <v>409356339</v>
      </c>
      <c r="BC24" s="516">
        <v>247253270</v>
      </c>
      <c r="BD24" s="516">
        <v>273966339</v>
      </c>
      <c r="BE24" s="516">
        <v>304154413</v>
      </c>
      <c r="BF24" s="516">
        <v>319198865</v>
      </c>
      <c r="BG24" s="516">
        <v>104876660</v>
      </c>
      <c r="BH24" s="517">
        <f t="shared" si="37"/>
        <v>2975181746</v>
      </c>
      <c r="BI24" s="518">
        <f t="shared" si="38"/>
        <v>0</v>
      </c>
      <c r="BJ24" s="519">
        <f t="shared" si="39"/>
        <v>0</v>
      </c>
      <c r="BK24" s="520">
        <f t="shared" si="40"/>
        <v>0</v>
      </c>
    </row>
    <row r="25" spans="1:63" ht="21" customHeight="1">
      <c r="A25" s="442" t="s">
        <v>127</v>
      </c>
      <c r="B25" s="443" t="s">
        <v>130</v>
      </c>
      <c r="C25" s="443" t="s">
        <v>151</v>
      </c>
      <c r="D25" s="443" t="s">
        <v>136</v>
      </c>
      <c r="E25" s="443" t="s">
        <v>128</v>
      </c>
      <c r="F25" s="676" t="s">
        <v>187</v>
      </c>
      <c r="G25" s="514" t="s">
        <v>153</v>
      </c>
      <c r="H25" s="515">
        <f>U25-SUM(I25:M25)</f>
        <v>504600000</v>
      </c>
      <c r="I25" s="516">
        <v>0</v>
      </c>
      <c r="J25" s="516">
        <v>0</v>
      </c>
      <c r="K25" s="516">
        <v>0</v>
      </c>
      <c r="L25" s="516">
        <v>0</v>
      </c>
      <c r="M25" s="516"/>
      <c r="N25" s="517">
        <f>SUM(H25:M25)</f>
        <v>504600000</v>
      </c>
      <c r="O25" s="515">
        <v>0</v>
      </c>
      <c r="P25" s="516">
        <f>-108657470*0</f>
        <v>0</v>
      </c>
      <c r="Q25" s="516">
        <v>0</v>
      </c>
      <c r="R25" s="516">
        <v>0</v>
      </c>
      <c r="S25" s="516">
        <v>0</v>
      </c>
      <c r="T25" s="516">
        <v>504600000</v>
      </c>
      <c r="U25" s="517">
        <f>SUM(O25:T25)</f>
        <v>504600000</v>
      </c>
      <c r="V25" s="515">
        <v>0</v>
      </c>
      <c r="W25" s="516">
        <v>0</v>
      </c>
      <c r="X25" s="516">
        <v>0</v>
      </c>
      <c r="Y25" s="516">
        <v>0</v>
      </c>
      <c r="Z25" s="516">
        <v>0</v>
      </c>
      <c r="AA25" s="516">
        <v>0</v>
      </c>
      <c r="AB25" s="521">
        <v>0</v>
      </c>
      <c r="AC25" s="516">
        <v>0</v>
      </c>
      <c r="AD25" s="516">
        <v>0</v>
      </c>
      <c r="AE25" s="516">
        <v>0</v>
      </c>
      <c r="AF25" s="516">
        <v>146581905</v>
      </c>
      <c r="AG25" s="516">
        <f>356483965-5791699</f>
        <v>350692266</v>
      </c>
      <c r="AH25" s="517">
        <f>SUM(V25:AG25)</f>
        <v>497274171</v>
      </c>
      <c r="AI25" s="516">
        <f aca="true" t="shared" si="43" ref="AI25:AT25">AV25</f>
        <v>0</v>
      </c>
      <c r="AJ25" s="516">
        <f t="shared" si="43"/>
        <v>0</v>
      </c>
      <c r="AK25" s="516">
        <f t="shared" si="43"/>
        <v>0</v>
      </c>
      <c r="AL25" s="516">
        <f t="shared" si="43"/>
        <v>0</v>
      </c>
      <c r="AM25" s="516">
        <f t="shared" si="43"/>
        <v>0</v>
      </c>
      <c r="AN25" s="516">
        <f t="shared" si="43"/>
        <v>0</v>
      </c>
      <c r="AO25" s="516">
        <f t="shared" si="43"/>
        <v>0</v>
      </c>
      <c r="AP25" s="516">
        <f t="shared" si="43"/>
        <v>0</v>
      </c>
      <c r="AQ25" s="516">
        <f t="shared" si="43"/>
        <v>0</v>
      </c>
      <c r="AR25" s="516">
        <f t="shared" si="41"/>
        <v>0</v>
      </c>
      <c r="AS25" s="516">
        <f t="shared" si="43"/>
        <v>0</v>
      </c>
      <c r="AT25" s="516">
        <f t="shared" si="43"/>
        <v>326949181</v>
      </c>
      <c r="AU25" s="517">
        <f>SUM(AI25:AT25)</f>
        <v>326949181</v>
      </c>
      <c r="AV25" s="515">
        <v>0</v>
      </c>
      <c r="AW25" s="516">
        <v>0</v>
      </c>
      <c r="AX25" s="516">
        <v>0</v>
      </c>
      <c r="AY25" s="516">
        <v>0</v>
      </c>
      <c r="AZ25" s="516">
        <v>0</v>
      </c>
      <c r="BA25" s="521">
        <v>0</v>
      </c>
      <c r="BB25" s="521">
        <v>0</v>
      </c>
      <c r="BC25" s="516">
        <v>0</v>
      </c>
      <c r="BD25" s="516">
        <v>0</v>
      </c>
      <c r="BE25" s="516">
        <v>0</v>
      </c>
      <c r="BF25" s="516"/>
      <c r="BG25" s="516">
        <f>22794768+304154413</f>
        <v>326949181</v>
      </c>
      <c r="BH25" s="517">
        <f>SUM(AV25:BG25)</f>
        <v>326949181</v>
      </c>
      <c r="BI25" s="518">
        <f>U25-AH25</f>
        <v>7325829</v>
      </c>
      <c r="BJ25" s="519">
        <f>AH25-AU25</f>
        <v>170324990</v>
      </c>
      <c r="BK25" s="520">
        <f>AU25-BH25</f>
        <v>0</v>
      </c>
    </row>
    <row r="26" spans="1:63" ht="21" customHeight="1">
      <c r="A26" s="442" t="s">
        <v>127</v>
      </c>
      <c r="B26" s="443" t="s">
        <v>130</v>
      </c>
      <c r="C26" s="443" t="s">
        <v>151</v>
      </c>
      <c r="D26" s="443" t="s">
        <v>138</v>
      </c>
      <c r="E26" s="443" t="s">
        <v>128</v>
      </c>
      <c r="F26" s="513" t="s">
        <v>134</v>
      </c>
      <c r="G26" s="514" t="s">
        <v>154</v>
      </c>
      <c r="H26" s="515">
        <f>U26-SUM(I26:M26)</f>
        <v>340636045</v>
      </c>
      <c r="I26" s="516"/>
      <c r="J26" s="516">
        <v>0</v>
      </c>
      <c r="K26" s="516">
        <v>0</v>
      </c>
      <c r="L26" s="516">
        <v>0</v>
      </c>
      <c r="M26" s="516">
        <v>0</v>
      </c>
      <c r="N26" s="517">
        <f>SUM(H26:M26)</f>
        <v>340636045</v>
      </c>
      <c r="O26" s="515">
        <v>406464698</v>
      </c>
      <c r="P26" s="516">
        <v>-65828653</v>
      </c>
      <c r="Q26" s="516">
        <v>0</v>
      </c>
      <c r="R26" s="516">
        <v>0</v>
      </c>
      <c r="S26" s="516">
        <v>0</v>
      </c>
      <c r="T26" s="516">
        <v>0</v>
      </c>
      <c r="U26" s="517">
        <f>SUM(O26:T26)</f>
        <v>340636045</v>
      </c>
      <c r="V26" s="515">
        <v>429024</v>
      </c>
      <c r="W26" s="516">
        <f>19132008-V26</f>
        <v>18702984</v>
      </c>
      <c r="X26" s="516">
        <f>69265499-(W26+V26)</f>
        <v>50133491</v>
      </c>
      <c r="Y26" s="516">
        <v>36444190</v>
      </c>
      <c r="Z26" s="516">
        <v>51676208</v>
      </c>
      <c r="AA26" s="516">
        <v>6409766</v>
      </c>
      <c r="AB26" s="521">
        <v>45277830</v>
      </c>
      <c r="AC26" s="516">
        <v>5100539</v>
      </c>
      <c r="AD26" s="516">
        <v>37039588</v>
      </c>
      <c r="AE26" s="516">
        <v>8435962</v>
      </c>
      <c r="AF26" s="516">
        <v>46929409</v>
      </c>
      <c r="AG26" s="516">
        <v>34057054</v>
      </c>
      <c r="AH26" s="517">
        <f>SUM(V26:AG26)</f>
        <v>340636045</v>
      </c>
      <c r="AI26" s="516">
        <f t="shared" si="21"/>
        <v>128124</v>
      </c>
      <c r="AJ26" s="516">
        <f t="shared" si="41"/>
        <v>18815073</v>
      </c>
      <c r="AK26" s="516">
        <f t="shared" si="41"/>
        <v>50133491</v>
      </c>
      <c r="AL26" s="516">
        <f t="shared" si="41"/>
        <v>36375699</v>
      </c>
      <c r="AM26" s="516">
        <f t="shared" si="41"/>
        <v>51676208</v>
      </c>
      <c r="AN26" s="516">
        <f t="shared" si="15"/>
        <v>5985492</v>
      </c>
      <c r="AO26" s="516">
        <f t="shared" si="41"/>
        <v>9963888</v>
      </c>
      <c r="AP26" s="516">
        <f t="shared" si="41"/>
        <v>2456753</v>
      </c>
      <c r="AQ26" s="516">
        <f t="shared" si="41"/>
        <v>37089383</v>
      </c>
      <c r="AR26" s="516">
        <f t="shared" si="41"/>
        <v>8657944</v>
      </c>
      <c r="AS26" s="516">
        <f t="shared" si="41"/>
        <v>49174322</v>
      </c>
      <c r="AT26" s="516">
        <f t="shared" si="41"/>
        <v>50599825</v>
      </c>
      <c r="AU26" s="517">
        <f t="shared" si="42"/>
        <v>321056202</v>
      </c>
      <c r="AV26" s="515">
        <v>128124</v>
      </c>
      <c r="AW26" s="516">
        <v>18815073</v>
      </c>
      <c r="AX26" s="516">
        <f>50091491+42000</f>
        <v>50133491</v>
      </c>
      <c r="AY26" s="516">
        <v>36375699</v>
      </c>
      <c r="AZ26" s="516">
        <f>50401395+1274813</f>
        <v>51676208</v>
      </c>
      <c r="BA26" s="516">
        <v>5985492</v>
      </c>
      <c r="BB26" s="521">
        <v>9963888</v>
      </c>
      <c r="BC26" s="516">
        <v>2456753</v>
      </c>
      <c r="BD26" s="516">
        <v>37089383</v>
      </c>
      <c r="BE26" s="516">
        <v>8657944</v>
      </c>
      <c r="BF26" s="516">
        <v>49174322</v>
      </c>
      <c r="BG26" s="516">
        <v>50599825</v>
      </c>
      <c r="BH26" s="517">
        <f>SUM(AV26:BG26)</f>
        <v>321056202</v>
      </c>
      <c r="BI26" s="518">
        <f>U26-AH26</f>
        <v>0</v>
      </c>
      <c r="BJ26" s="519">
        <f>AH26-AU26</f>
        <v>19579843</v>
      </c>
      <c r="BK26" s="520">
        <f>AU26-BH26</f>
        <v>0</v>
      </c>
    </row>
    <row r="27" spans="1:63" s="101" customFormat="1" ht="21" customHeight="1">
      <c r="A27" s="439" t="s">
        <v>127</v>
      </c>
      <c r="B27" s="440" t="s">
        <v>130</v>
      </c>
      <c r="C27" s="441" t="s">
        <v>138</v>
      </c>
      <c r="D27" s="440" t="s">
        <v>128</v>
      </c>
      <c r="E27" s="440" t="s">
        <v>128</v>
      </c>
      <c r="F27" s="504"/>
      <c r="G27" s="505" t="s">
        <v>155</v>
      </c>
      <c r="H27" s="506">
        <f aca="true" t="shared" si="44" ref="H27:M27">SUM(H28:H34)</f>
        <v>1707210072</v>
      </c>
      <c r="I27" s="507">
        <f t="shared" si="44"/>
        <v>-353146515</v>
      </c>
      <c r="J27" s="507">
        <f t="shared" si="44"/>
        <v>0</v>
      </c>
      <c r="K27" s="507">
        <f t="shared" si="44"/>
        <v>0</v>
      </c>
      <c r="L27" s="507">
        <f t="shared" si="44"/>
        <v>0</v>
      </c>
      <c r="M27" s="507">
        <f t="shared" si="44"/>
        <v>132000000</v>
      </c>
      <c r="N27" s="508">
        <f t="shared" si="1"/>
        <v>1486063557</v>
      </c>
      <c r="O27" s="506">
        <f aca="true" t="shared" si="45" ref="O27:T27">SUM(O28:O34)</f>
        <v>637680288</v>
      </c>
      <c r="P27" s="507">
        <f t="shared" si="45"/>
        <v>-656442895</v>
      </c>
      <c r="Q27" s="507">
        <f t="shared" si="45"/>
        <v>117026164</v>
      </c>
      <c r="R27" s="507">
        <f t="shared" si="45"/>
        <v>0</v>
      </c>
      <c r="S27" s="507">
        <f t="shared" si="45"/>
        <v>0</v>
      </c>
      <c r="T27" s="507">
        <f t="shared" si="45"/>
        <v>1387800000</v>
      </c>
      <c r="U27" s="508">
        <f t="shared" si="32"/>
        <v>1486063557</v>
      </c>
      <c r="V27" s="506">
        <f aca="true" t="shared" si="46" ref="V27:AG27">SUM(V28:V34)</f>
        <v>0</v>
      </c>
      <c r="W27" s="507">
        <f t="shared" si="46"/>
        <v>20643565</v>
      </c>
      <c r="X27" s="507">
        <f t="shared" si="46"/>
        <v>6123214</v>
      </c>
      <c r="Y27" s="507">
        <f t="shared" si="46"/>
        <v>0</v>
      </c>
      <c r="Z27" s="507">
        <f t="shared" si="46"/>
        <v>0</v>
      </c>
      <c r="AA27" s="507">
        <f t="shared" si="46"/>
        <v>0</v>
      </c>
      <c r="AB27" s="509">
        <f t="shared" si="46"/>
        <v>0</v>
      </c>
      <c r="AC27" s="507">
        <f t="shared" si="46"/>
        <v>0</v>
      </c>
      <c r="AD27" s="507">
        <f t="shared" si="46"/>
        <v>332996</v>
      </c>
      <c r="AE27" s="507">
        <f t="shared" si="46"/>
        <v>5969848</v>
      </c>
      <c r="AF27" s="507">
        <f t="shared" si="46"/>
        <v>286507347</v>
      </c>
      <c r="AG27" s="507">
        <f t="shared" si="46"/>
        <v>1160579649</v>
      </c>
      <c r="AH27" s="508">
        <f t="shared" si="34"/>
        <v>1480156619</v>
      </c>
      <c r="AI27" s="506">
        <f aca="true" t="shared" si="47" ref="AI27:AT27">SUM(AI28:AI34)</f>
        <v>0</v>
      </c>
      <c r="AJ27" s="507">
        <f t="shared" si="47"/>
        <v>20643565</v>
      </c>
      <c r="AK27" s="507">
        <f t="shared" si="47"/>
        <v>6123214</v>
      </c>
      <c r="AL27" s="507">
        <f t="shared" si="47"/>
        <v>0</v>
      </c>
      <c r="AM27" s="507">
        <f t="shared" si="47"/>
        <v>0</v>
      </c>
      <c r="AN27" s="507">
        <f t="shared" si="47"/>
        <v>0</v>
      </c>
      <c r="AO27" s="509">
        <f t="shared" si="47"/>
        <v>0</v>
      </c>
      <c r="AP27" s="507">
        <f t="shared" si="47"/>
        <v>0</v>
      </c>
      <c r="AQ27" s="507">
        <f t="shared" si="47"/>
        <v>332996</v>
      </c>
      <c r="AR27" s="507">
        <f t="shared" si="47"/>
        <v>5969848</v>
      </c>
      <c r="AS27" s="507">
        <f t="shared" si="47"/>
        <v>286507347</v>
      </c>
      <c r="AT27" s="507">
        <f t="shared" si="47"/>
        <v>3596067</v>
      </c>
      <c r="AU27" s="508">
        <f t="shared" si="42"/>
        <v>323173037</v>
      </c>
      <c r="AV27" s="506">
        <f aca="true" t="shared" si="48" ref="AV27:BG27">SUM(AV28:AV34)</f>
        <v>0</v>
      </c>
      <c r="AW27" s="507">
        <f t="shared" si="48"/>
        <v>20643565</v>
      </c>
      <c r="AX27" s="507">
        <f t="shared" si="48"/>
        <v>6123214</v>
      </c>
      <c r="AY27" s="507">
        <f t="shared" si="48"/>
        <v>0</v>
      </c>
      <c r="AZ27" s="507">
        <f t="shared" si="48"/>
        <v>0</v>
      </c>
      <c r="BA27" s="507">
        <f t="shared" si="48"/>
        <v>0</v>
      </c>
      <c r="BB27" s="509">
        <f t="shared" si="48"/>
        <v>0</v>
      </c>
      <c r="BC27" s="507">
        <f t="shared" si="48"/>
        <v>0</v>
      </c>
      <c r="BD27" s="507">
        <f t="shared" si="48"/>
        <v>332996</v>
      </c>
      <c r="BE27" s="507">
        <f t="shared" si="48"/>
        <v>5969848</v>
      </c>
      <c r="BF27" s="507">
        <f t="shared" si="48"/>
        <v>286507347</v>
      </c>
      <c r="BG27" s="507">
        <f t="shared" si="48"/>
        <v>3596067</v>
      </c>
      <c r="BH27" s="508">
        <f t="shared" si="37"/>
        <v>323173037</v>
      </c>
      <c r="BI27" s="510">
        <f t="shared" si="38"/>
        <v>5906938</v>
      </c>
      <c r="BJ27" s="511">
        <f t="shared" si="39"/>
        <v>1156983582</v>
      </c>
      <c r="BK27" s="512">
        <f t="shared" si="40"/>
        <v>0</v>
      </c>
    </row>
    <row r="28" spans="1:63" ht="21" customHeight="1">
      <c r="A28" s="442" t="s">
        <v>127</v>
      </c>
      <c r="B28" s="443" t="s">
        <v>130</v>
      </c>
      <c r="C28" s="443" t="s">
        <v>156</v>
      </c>
      <c r="D28" s="443" t="s">
        <v>131</v>
      </c>
      <c r="E28" s="443" t="s">
        <v>131</v>
      </c>
      <c r="F28" s="513" t="s">
        <v>134</v>
      </c>
      <c r="G28" s="514" t="s">
        <v>157</v>
      </c>
      <c r="H28" s="515">
        <f aca="true" t="shared" si="49" ref="H28:H34">U28-SUM(I28:M28)</f>
        <v>290103414</v>
      </c>
      <c r="I28" s="516">
        <v>0</v>
      </c>
      <c r="J28" s="516"/>
      <c r="K28" s="516">
        <v>0</v>
      </c>
      <c r="L28" s="516">
        <v>0</v>
      </c>
      <c r="M28" s="516">
        <v>0</v>
      </c>
      <c r="N28" s="517">
        <f t="shared" si="1"/>
        <v>290103414</v>
      </c>
      <c r="O28" s="515">
        <v>286507347</v>
      </c>
      <c r="P28" s="516">
        <v>0</v>
      </c>
      <c r="Q28" s="516">
        <v>3596067</v>
      </c>
      <c r="R28" s="516">
        <v>0</v>
      </c>
      <c r="S28" s="516">
        <v>0</v>
      </c>
      <c r="T28" s="516">
        <v>0</v>
      </c>
      <c r="U28" s="517">
        <f t="shared" si="32"/>
        <v>290103414</v>
      </c>
      <c r="V28" s="515">
        <v>0</v>
      </c>
      <c r="W28" s="516">
        <v>0</v>
      </c>
      <c r="X28" s="516">
        <v>0</v>
      </c>
      <c r="Y28" s="516">
        <v>0</v>
      </c>
      <c r="Z28" s="516">
        <v>0</v>
      </c>
      <c r="AA28" s="516">
        <v>0</v>
      </c>
      <c r="AB28" s="521">
        <v>0</v>
      </c>
      <c r="AC28" s="516">
        <v>0</v>
      </c>
      <c r="AD28" s="516">
        <v>0</v>
      </c>
      <c r="AE28" s="516">
        <v>0</v>
      </c>
      <c r="AF28" s="516">
        <v>286507347</v>
      </c>
      <c r="AG28" s="516">
        <v>3596067</v>
      </c>
      <c r="AH28" s="517">
        <f t="shared" si="34"/>
        <v>290103414</v>
      </c>
      <c r="AI28" s="516">
        <f t="shared" si="21"/>
        <v>0</v>
      </c>
      <c r="AJ28" s="516">
        <f aca="true" t="shared" si="50" ref="AJ28:AP29">AW28</f>
        <v>0</v>
      </c>
      <c r="AK28" s="516">
        <f t="shared" si="50"/>
        <v>0</v>
      </c>
      <c r="AL28" s="516">
        <f t="shared" si="50"/>
        <v>0</v>
      </c>
      <c r="AM28" s="516">
        <f t="shared" si="50"/>
        <v>0</v>
      </c>
      <c r="AN28" s="516">
        <f t="shared" si="50"/>
        <v>0</v>
      </c>
      <c r="AO28" s="521">
        <f t="shared" si="50"/>
        <v>0</v>
      </c>
      <c r="AP28" s="516">
        <f t="shared" si="50"/>
        <v>0</v>
      </c>
      <c r="AQ28" s="516">
        <v>0</v>
      </c>
      <c r="AR28" s="516">
        <f>BE28</f>
        <v>0</v>
      </c>
      <c r="AS28" s="516">
        <f>BF28</f>
        <v>286507347</v>
      </c>
      <c r="AT28" s="516">
        <f>BG28</f>
        <v>3596067</v>
      </c>
      <c r="AU28" s="517">
        <f t="shared" si="42"/>
        <v>290103414</v>
      </c>
      <c r="AV28" s="515">
        <v>0</v>
      </c>
      <c r="AW28" s="516">
        <v>0</v>
      </c>
      <c r="AX28" s="516">
        <v>0</v>
      </c>
      <c r="AY28" s="516">
        <v>0</v>
      </c>
      <c r="AZ28" s="516">
        <v>0</v>
      </c>
      <c r="BA28" s="516">
        <v>0</v>
      </c>
      <c r="BB28" s="521">
        <v>0</v>
      </c>
      <c r="BC28" s="516">
        <v>0</v>
      </c>
      <c r="BD28" s="516">
        <v>0</v>
      </c>
      <c r="BE28" s="516">
        <v>0</v>
      </c>
      <c r="BF28" s="516">
        <v>286507347</v>
      </c>
      <c r="BG28" s="516">
        <v>3596067</v>
      </c>
      <c r="BH28" s="517">
        <f t="shared" si="37"/>
        <v>290103414</v>
      </c>
      <c r="BI28" s="518">
        <f t="shared" si="38"/>
        <v>0</v>
      </c>
      <c r="BJ28" s="519">
        <f t="shared" si="39"/>
        <v>0</v>
      </c>
      <c r="BK28" s="520">
        <f t="shared" si="40"/>
        <v>0</v>
      </c>
    </row>
    <row r="29" spans="1:63" ht="24.75" customHeight="1">
      <c r="A29" s="442" t="s">
        <v>127</v>
      </c>
      <c r="B29" s="443" t="s">
        <v>130</v>
      </c>
      <c r="C29" s="443" t="s">
        <v>156</v>
      </c>
      <c r="D29" s="443" t="s">
        <v>131</v>
      </c>
      <c r="E29" s="443" t="s">
        <v>185</v>
      </c>
      <c r="F29" s="513" t="s">
        <v>134</v>
      </c>
      <c r="G29" s="514" t="s">
        <v>247</v>
      </c>
      <c r="H29" s="515">
        <f>U29-SUM(I29:M29)</f>
        <v>0</v>
      </c>
      <c r="I29" s="516"/>
      <c r="J29" s="516">
        <v>0</v>
      </c>
      <c r="K29" s="516">
        <v>0</v>
      </c>
      <c r="L29" s="516">
        <v>0</v>
      </c>
      <c r="M29" s="516">
        <v>0</v>
      </c>
      <c r="N29" s="517">
        <f>SUM(H29:M29)</f>
        <v>0</v>
      </c>
      <c r="O29" s="515">
        <v>281287906</v>
      </c>
      <c r="P29" s="516">
        <f>-90378252-190909654*0-190909654</f>
        <v>-281287906</v>
      </c>
      <c r="Q29" s="516">
        <v>0</v>
      </c>
      <c r="R29" s="516">
        <v>0</v>
      </c>
      <c r="S29" s="516">
        <v>0</v>
      </c>
      <c r="T29" s="516">
        <v>0</v>
      </c>
      <c r="U29" s="517">
        <f>SUM(O29:T29)</f>
        <v>0</v>
      </c>
      <c r="V29" s="515">
        <v>0</v>
      </c>
      <c r="W29" s="516">
        <v>0</v>
      </c>
      <c r="X29" s="516">
        <v>0</v>
      </c>
      <c r="Y29" s="516">
        <v>0</v>
      </c>
      <c r="Z29" s="516">
        <v>0</v>
      </c>
      <c r="AA29" s="516">
        <v>0</v>
      </c>
      <c r="AB29" s="521">
        <v>0</v>
      </c>
      <c r="AC29" s="516">
        <v>0</v>
      </c>
      <c r="AD29" s="516">
        <v>0</v>
      </c>
      <c r="AE29" s="516">
        <v>0</v>
      </c>
      <c r="AF29" s="516">
        <v>0</v>
      </c>
      <c r="AG29" s="516">
        <v>0</v>
      </c>
      <c r="AH29" s="517">
        <f>SUM(V29:AG29)</f>
        <v>0</v>
      </c>
      <c r="AI29" s="516">
        <f>AV29</f>
        <v>0</v>
      </c>
      <c r="AJ29" s="516">
        <f t="shared" si="50"/>
        <v>0</v>
      </c>
      <c r="AK29" s="516">
        <f t="shared" si="50"/>
        <v>0</v>
      </c>
      <c r="AL29" s="516">
        <f t="shared" si="50"/>
        <v>0</v>
      </c>
      <c r="AM29" s="516">
        <f t="shared" si="50"/>
        <v>0</v>
      </c>
      <c r="AN29" s="516">
        <f t="shared" si="50"/>
        <v>0</v>
      </c>
      <c r="AO29" s="521">
        <f t="shared" si="50"/>
        <v>0</v>
      </c>
      <c r="AP29" s="516">
        <f t="shared" si="50"/>
        <v>0</v>
      </c>
      <c r="AQ29" s="516">
        <f>BD29</f>
        <v>0</v>
      </c>
      <c r="AR29" s="516">
        <f>BE29</f>
        <v>0</v>
      </c>
      <c r="AS29" s="516">
        <f>BF29</f>
        <v>0</v>
      </c>
      <c r="AT29" s="516">
        <v>0</v>
      </c>
      <c r="AU29" s="517">
        <f>SUM(AI29:AT29)</f>
        <v>0</v>
      </c>
      <c r="AV29" s="515">
        <v>0</v>
      </c>
      <c r="AW29" s="516">
        <v>0</v>
      </c>
      <c r="AX29" s="516">
        <v>0</v>
      </c>
      <c r="AY29" s="516">
        <v>0</v>
      </c>
      <c r="AZ29" s="516">
        <v>0</v>
      </c>
      <c r="BA29" s="516">
        <v>0</v>
      </c>
      <c r="BB29" s="521">
        <v>0</v>
      </c>
      <c r="BC29" s="516">
        <v>0</v>
      </c>
      <c r="BD29" s="516">
        <v>0</v>
      </c>
      <c r="BE29" s="516">
        <v>0</v>
      </c>
      <c r="BF29" s="516">
        <v>0</v>
      </c>
      <c r="BG29" s="516">
        <v>0</v>
      </c>
      <c r="BH29" s="517">
        <f>SUM(AV29:BG29)</f>
        <v>0</v>
      </c>
      <c r="BI29" s="518">
        <f>U29-AH29</f>
        <v>0</v>
      </c>
      <c r="BJ29" s="519">
        <f>AH29-AU29</f>
        <v>0</v>
      </c>
      <c r="BK29" s="520">
        <f>AU29-BH29</f>
        <v>0</v>
      </c>
    </row>
    <row r="30" spans="1:63" ht="24.75" customHeight="1">
      <c r="A30" s="442" t="s">
        <v>127</v>
      </c>
      <c r="B30" s="443" t="s">
        <v>130</v>
      </c>
      <c r="C30" s="443" t="s">
        <v>156</v>
      </c>
      <c r="D30" s="443" t="s">
        <v>131</v>
      </c>
      <c r="E30" s="443" t="s">
        <v>286</v>
      </c>
      <c r="F30" s="513" t="s">
        <v>192</v>
      </c>
      <c r="G30" s="514" t="s">
        <v>247</v>
      </c>
      <c r="H30" s="515">
        <f t="shared" si="49"/>
        <v>0</v>
      </c>
      <c r="I30" s="516">
        <v>-132000000</v>
      </c>
      <c r="J30" s="516">
        <v>0</v>
      </c>
      <c r="K30" s="516">
        <v>0</v>
      </c>
      <c r="L30" s="516">
        <v>0</v>
      </c>
      <c r="M30" s="516">
        <v>132000000</v>
      </c>
      <c r="N30" s="517">
        <f>SUM(H30:M30)</f>
        <v>0</v>
      </c>
      <c r="O30" s="515">
        <v>0</v>
      </c>
      <c r="P30" s="516">
        <v>-132000000</v>
      </c>
      <c r="Q30" s="516">
        <v>0</v>
      </c>
      <c r="R30" s="516">
        <v>0</v>
      </c>
      <c r="S30" s="516">
        <v>0</v>
      </c>
      <c r="T30" s="516">
        <v>132000000</v>
      </c>
      <c r="U30" s="517">
        <f>SUM(O30:T30)</f>
        <v>0</v>
      </c>
      <c r="V30" s="515">
        <v>0</v>
      </c>
      <c r="W30" s="516">
        <v>0</v>
      </c>
      <c r="X30" s="516">
        <v>0</v>
      </c>
      <c r="Y30" s="516">
        <v>0</v>
      </c>
      <c r="Z30" s="516">
        <v>0</v>
      </c>
      <c r="AA30" s="516">
        <v>0</v>
      </c>
      <c r="AB30" s="521">
        <v>0</v>
      </c>
      <c r="AC30" s="516">
        <v>0</v>
      </c>
      <c r="AD30" s="516">
        <v>0</v>
      </c>
      <c r="AE30" s="516">
        <v>0</v>
      </c>
      <c r="AF30" s="516">
        <v>0</v>
      </c>
      <c r="AG30" s="516">
        <v>0</v>
      </c>
      <c r="AH30" s="517">
        <f>SUM(V30:AG30)</f>
        <v>0</v>
      </c>
      <c r="AI30" s="516">
        <f t="shared" si="21"/>
        <v>0</v>
      </c>
      <c r="AJ30" s="516">
        <f aca="true" t="shared" si="51" ref="AJ30:AP31">AW30</f>
        <v>0</v>
      </c>
      <c r="AK30" s="516">
        <f t="shared" si="51"/>
        <v>0</v>
      </c>
      <c r="AL30" s="516">
        <f t="shared" si="51"/>
        <v>0</v>
      </c>
      <c r="AM30" s="516">
        <f t="shared" si="51"/>
        <v>0</v>
      </c>
      <c r="AN30" s="516">
        <f t="shared" si="51"/>
        <v>0</v>
      </c>
      <c r="AO30" s="521">
        <f t="shared" si="51"/>
        <v>0</v>
      </c>
      <c r="AP30" s="516">
        <f t="shared" si="51"/>
        <v>0</v>
      </c>
      <c r="AQ30" s="516">
        <f aca="true" t="shared" si="52" ref="AQ30:AS34">BD30</f>
        <v>0</v>
      </c>
      <c r="AR30" s="516">
        <f t="shared" si="52"/>
        <v>0</v>
      </c>
      <c r="AS30" s="516">
        <f t="shared" si="52"/>
        <v>0</v>
      </c>
      <c r="AT30" s="516">
        <v>0</v>
      </c>
      <c r="AU30" s="517">
        <f t="shared" si="42"/>
        <v>0</v>
      </c>
      <c r="AV30" s="515">
        <v>0</v>
      </c>
      <c r="AW30" s="516">
        <v>0</v>
      </c>
      <c r="AX30" s="516">
        <v>0</v>
      </c>
      <c r="AY30" s="516">
        <v>0</v>
      </c>
      <c r="AZ30" s="516">
        <v>0</v>
      </c>
      <c r="BA30" s="516">
        <v>0</v>
      </c>
      <c r="BB30" s="521">
        <v>0</v>
      </c>
      <c r="BC30" s="516">
        <v>0</v>
      </c>
      <c r="BD30" s="516">
        <v>0</v>
      </c>
      <c r="BE30" s="516">
        <v>0</v>
      </c>
      <c r="BF30" s="516">
        <v>0</v>
      </c>
      <c r="BG30" s="516">
        <v>0</v>
      </c>
      <c r="BH30" s="517">
        <f>SUM(AV30:BG30)</f>
        <v>0</v>
      </c>
      <c r="BI30" s="518">
        <f>U30-AH30</f>
        <v>0</v>
      </c>
      <c r="BJ30" s="519">
        <f>AH30-AU30</f>
        <v>0</v>
      </c>
      <c r="BK30" s="520">
        <f>AU30-BH30</f>
        <v>0</v>
      </c>
    </row>
    <row r="31" spans="1:63" ht="21" customHeight="1">
      <c r="A31" s="442" t="s">
        <v>127</v>
      </c>
      <c r="B31" s="443" t="s">
        <v>130</v>
      </c>
      <c r="C31" s="444" t="s">
        <v>276</v>
      </c>
      <c r="D31" s="443" t="s">
        <v>131</v>
      </c>
      <c r="E31" s="443"/>
      <c r="F31" s="513" t="s">
        <v>134</v>
      </c>
      <c r="G31" s="514" t="s">
        <v>158</v>
      </c>
      <c r="H31" s="515">
        <f t="shared" si="49"/>
        <v>20643565</v>
      </c>
      <c r="I31" s="516"/>
      <c r="J31" s="516">
        <v>0</v>
      </c>
      <c r="K31" s="516">
        <v>0</v>
      </c>
      <c r="L31" s="516">
        <v>0</v>
      </c>
      <c r="M31" s="516">
        <v>0</v>
      </c>
      <c r="N31" s="517">
        <f t="shared" si="1"/>
        <v>20643565</v>
      </c>
      <c r="O31" s="515">
        <v>20700000</v>
      </c>
      <c r="P31" s="516">
        <v>-56435</v>
      </c>
      <c r="Q31" s="516">
        <v>0</v>
      </c>
      <c r="R31" s="516">
        <v>0</v>
      </c>
      <c r="S31" s="516">
        <v>0</v>
      </c>
      <c r="T31" s="516">
        <v>0</v>
      </c>
      <c r="U31" s="517">
        <f t="shared" si="32"/>
        <v>20643565</v>
      </c>
      <c r="V31" s="515">
        <v>0</v>
      </c>
      <c r="W31" s="516">
        <v>20643565</v>
      </c>
      <c r="X31" s="516">
        <v>0</v>
      </c>
      <c r="Y31" s="516">
        <v>0</v>
      </c>
      <c r="Z31" s="516">
        <v>0</v>
      </c>
      <c r="AA31" s="516">
        <v>0</v>
      </c>
      <c r="AB31" s="521">
        <v>0</v>
      </c>
      <c r="AC31" s="516">
        <v>0</v>
      </c>
      <c r="AD31" s="516">
        <v>0</v>
      </c>
      <c r="AE31" s="516">
        <v>0</v>
      </c>
      <c r="AF31" s="516">
        <v>0</v>
      </c>
      <c r="AG31" s="516">
        <v>0</v>
      </c>
      <c r="AH31" s="517">
        <f t="shared" si="34"/>
        <v>20643565</v>
      </c>
      <c r="AI31" s="516">
        <f t="shared" si="21"/>
        <v>0</v>
      </c>
      <c r="AJ31" s="516">
        <f t="shared" si="51"/>
        <v>20643565</v>
      </c>
      <c r="AK31" s="516">
        <f aca="true" t="shared" si="53" ref="AJ31:AP34">AX31</f>
        <v>0</v>
      </c>
      <c r="AL31" s="516">
        <f t="shared" si="53"/>
        <v>0</v>
      </c>
      <c r="AM31" s="516">
        <f t="shared" si="53"/>
        <v>0</v>
      </c>
      <c r="AN31" s="516">
        <f t="shared" si="53"/>
        <v>0</v>
      </c>
      <c r="AO31" s="521">
        <f t="shared" si="53"/>
        <v>0</v>
      </c>
      <c r="AP31" s="516">
        <f t="shared" si="53"/>
        <v>0</v>
      </c>
      <c r="AQ31" s="516">
        <f t="shared" si="52"/>
        <v>0</v>
      </c>
      <c r="AR31" s="516">
        <f t="shared" si="52"/>
        <v>0</v>
      </c>
      <c r="AS31" s="516">
        <f t="shared" si="52"/>
        <v>0</v>
      </c>
      <c r="AT31" s="516">
        <f>BG31</f>
        <v>0</v>
      </c>
      <c r="AU31" s="517">
        <f t="shared" si="42"/>
        <v>20643565</v>
      </c>
      <c r="AV31" s="515">
        <v>0</v>
      </c>
      <c r="AW31" s="516">
        <v>20643565</v>
      </c>
      <c r="AX31" s="516">
        <v>0</v>
      </c>
      <c r="AY31" s="516">
        <v>0</v>
      </c>
      <c r="AZ31" s="516">
        <v>0</v>
      </c>
      <c r="BA31" s="516">
        <v>0</v>
      </c>
      <c r="BB31" s="521">
        <v>0</v>
      </c>
      <c r="BC31" s="516">
        <v>0</v>
      </c>
      <c r="BD31" s="516">
        <v>0</v>
      </c>
      <c r="BE31" s="516">
        <v>0</v>
      </c>
      <c r="BF31" s="516">
        <v>0</v>
      </c>
      <c r="BG31" s="516">
        <v>0</v>
      </c>
      <c r="BH31" s="517">
        <f t="shared" si="37"/>
        <v>20643565</v>
      </c>
      <c r="BI31" s="518">
        <f t="shared" si="38"/>
        <v>0</v>
      </c>
      <c r="BJ31" s="519">
        <f t="shared" si="39"/>
        <v>0</v>
      </c>
      <c r="BK31" s="520">
        <f t="shared" si="40"/>
        <v>0</v>
      </c>
    </row>
    <row r="32" spans="1:63" ht="21" customHeight="1">
      <c r="A32" s="442" t="s">
        <v>127</v>
      </c>
      <c r="B32" s="443" t="s">
        <v>130</v>
      </c>
      <c r="C32" s="443" t="s">
        <v>159</v>
      </c>
      <c r="D32" s="443" t="s">
        <v>131</v>
      </c>
      <c r="E32" s="443" t="s">
        <v>131</v>
      </c>
      <c r="F32" s="513" t="s">
        <v>134</v>
      </c>
      <c r="G32" s="514" t="s">
        <v>160</v>
      </c>
      <c r="H32" s="515">
        <f t="shared" si="49"/>
        <v>122330097</v>
      </c>
      <c r="I32" s="516">
        <v>0</v>
      </c>
      <c r="J32" s="516"/>
      <c r="K32" s="516">
        <v>0</v>
      </c>
      <c r="L32" s="516">
        <v>0</v>
      </c>
      <c r="M32" s="516">
        <v>0</v>
      </c>
      <c r="N32" s="517">
        <f t="shared" si="1"/>
        <v>122330097</v>
      </c>
      <c r="O32" s="515">
        <v>8900000</v>
      </c>
      <c r="P32" s="516">
        <v>0</v>
      </c>
      <c r="Q32" s="516">
        <v>113430097</v>
      </c>
      <c r="R32" s="516">
        <v>0</v>
      </c>
      <c r="S32" s="516">
        <v>0</v>
      </c>
      <c r="T32" s="516">
        <v>0</v>
      </c>
      <c r="U32" s="517">
        <f t="shared" si="32"/>
        <v>122330097</v>
      </c>
      <c r="V32" s="515">
        <v>0</v>
      </c>
      <c r="W32" s="516">
        <v>0</v>
      </c>
      <c r="X32" s="516">
        <v>0</v>
      </c>
      <c r="Y32" s="516">
        <v>0</v>
      </c>
      <c r="Z32" s="516">
        <v>0</v>
      </c>
      <c r="AA32" s="516">
        <v>0</v>
      </c>
      <c r="AB32" s="521">
        <v>0</v>
      </c>
      <c r="AC32" s="516">
        <v>0</v>
      </c>
      <c r="AD32" s="516">
        <v>0</v>
      </c>
      <c r="AE32" s="516">
        <v>0</v>
      </c>
      <c r="AF32" s="516">
        <v>0</v>
      </c>
      <c r="AG32" s="516">
        <v>122330097</v>
      </c>
      <c r="AH32" s="517">
        <f t="shared" si="34"/>
        <v>122330097</v>
      </c>
      <c r="AI32" s="516">
        <f t="shared" si="21"/>
        <v>0</v>
      </c>
      <c r="AJ32" s="516">
        <f t="shared" si="53"/>
        <v>0</v>
      </c>
      <c r="AK32" s="516">
        <f t="shared" si="53"/>
        <v>0</v>
      </c>
      <c r="AL32" s="516">
        <f t="shared" si="53"/>
        <v>0</v>
      </c>
      <c r="AM32" s="516">
        <f t="shared" si="53"/>
        <v>0</v>
      </c>
      <c r="AN32" s="516">
        <f t="shared" si="53"/>
        <v>0</v>
      </c>
      <c r="AO32" s="521">
        <f t="shared" si="53"/>
        <v>0</v>
      </c>
      <c r="AP32" s="516">
        <f t="shared" si="53"/>
        <v>0</v>
      </c>
      <c r="AQ32" s="516">
        <f t="shared" si="52"/>
        <v>0</v>
      </c>
      <c r="AR32" s="516">
        <f t="shared" si="52"/>
        <v>0</v>
      </c>
      <c r="AS32" s="516">
        <f t="shared" si="52"/>
        <v>0</v>
      </c>
      <c r="AT32" s="516">
        <f>BG32</f>
        <v>0</v>
      </c>
      <c r="AU32" s="517">
        <f t="shared" si="42"/>
        <v>0</v>
      </c>
      <c r="AV32" s="515">
        <v>0</v>
      </c>
      <c r="AW32" s="516">
        <v>0</v>
      </c>
      <c r="AX32" s="516">
        <v>0</v>
      </c>
      <c r="AY32" s="516">
        <v>0</v>
      </c>
      <c r="AZ32" s="516">
        <v>0</v>
      </c>
      <c r="BA32" s="516">
        <v>0</v>
      </c>
      <c r="BB32" s="521">
        <v>0</v>
      </c>
      <c r="BC32" s="516">
        <v>0</v>
      </c>
      <c r="BD32" s="516">
        <v>0</v>
      </c>
      <c r="BE32" s="516">
        <v>0</v>
      </c>
      <c r="BF32" s="516">
        <v>0</v>
      </c>
      <c r="BG32" s="516">
        <v>0</v>
      </c>
      <c r="BH32" s="517">
        <f t="shared" si="37"/>
        <v>0</v>
      </c>
      <c r="BI32" s="518">
        <f t="shared" si="38"/>
        <v>0</v>
      </c>
      <c r="BJ32" s="519">
        <f t="shared" si="39"/>
        <v>122330097</v>
      </c>
      <c r="BK32" s="520">
        <f t="shared" si="40"/>
        <v>0</v>
      </c>
    </row>
    <row r="33" spans="1:63" ht="21" customHeight="1">
      <c r="A33" s="442" t="s">
        <v>127</v>
      </c>
      <c r="B33" s="443" t="s">
        <v>130</v>
      </c>
      <c r="C33" s="444" t="s">
        <v>159</v>
      </c>
      <c r="D33" s="443" t="s">
        <v>138</v>
      </c>
      <c r="E33" s="443" t="s">
        <v>131</v>
      </c>
      <c r="F33" s="513" t="s">
        <v>134</v>
      </c>
      <c r="G33" s="514" t="s">
        <v>161</v>
      </c>
      <c r="H33" s="515">
        <f t="shared" si="49"/>
        <v>18332996</v>
      </c>
      <c r="I33" s="516"/>
      <c r="J33" s="516">
        <v>0</v>
      </c>
      <c r="K33" s="516">
        <v>0</v>
      </c>
      <c r="L33" s="516">
        <v>0</v>
      </c>
      <c r="M33" s="516">
        <v>0</v>
      </c>
      <c r="N33" s="517">
        <f>SUM(H33:M33)</f>
        <v>18332996</v>
      </c>
      <c r="O33" s="515">
        <v>40285035</v>
      </c>
      <c r="P33" s="516">
        <v>-21952039</v>
      </c>
      <c r="Q33" s="516">
        <v>0</v>
      </c>
      <c r="R33" s="516">
        <v>0</v>
      </c>
      <c r="S33" s="516">
        <v>0</v>
      </c>
      <c r="T33" s="516">
        <v>0</v>
      </c>
      <c r="U33" s="517">
        <f>SUM(O33:T33)</f>
        <v>18332996</v>
      </c>
      <c r="V33" s="515">
        <v>0</v>
      </c>
      <c r="W33" s="516">
        <v>0</v>
      </c>
      <c r="X33" s="516">
        <v>6123214</v>
      </c>
      <c r="Y33" s="516">
        <v>0</v>
      </c>
      <c r="Z33" s="516">
        <v>0</v>
      </c>
      <c r="AA33" s="516">
        <v>0</v>
      </c>
      <c r="AB33" s="521">
        <v>0</v>
      </c>
      <c r="AC33" s="516">
        <v>0</v>
      </c>
      <c r="AD33" s="516">
        <v>332996</v>
      </c>
      <c r="AE33" s="516">
        <v>5969848</v>
      </c>
      <c r="AF33" s="516">
        <v>0</v>
      </c>
      <c r="AG33" s="516">
        <v>0</v>
      </c>
      <c r="AH33" s="517">
        <f>SUM(V33:AG33)</f>
        <v>12426058</v>
      </c>
      <c r="AI33" s="516">
        <f>AV33</f>
        <v>0</v>
      </c>
      <c r="AJ33" s="516">
        <f>AW33</f>
        <v>0</v>
      </c>
      <c r="AK33" s="516">
        <f>AX33</f>
        <v>6123214</v>
      </c>
      <c r="AL33" s="516">
        <f>AY33</f>
        <v>0</v>
      </c>
      <c r="AM33" s="516">
        <v>0</v>
      </c>
      <c r="AN33" s="516">
        <f>BA33</f>
        <v>0</v>
      </c>
      <c r="AO33" s="521">
        <f>BB33</f>
        <v>0</v>
      </c>
      <c r="AP33" s="516">
        <f>BC33</f>
        <v>0</v>
      </c>
      <c r="AQ33" s="516">
        <f>BD33</f>
        <v>332996</v>
      </c>
      <c r="AR33" s="516">
        <f>BE33</f>
        <v>5969848</v>
      </c>
      <c r="AS33" s="516">
        <v>0</v>
      </c>
      <c r="AT33" s="516">
        <f>BG33</f>
        <v>0</v>
      </c>
      <c r="AU33" s="517">
        <f>SUM(AI33:AT33)</f>
        <v>12426058</v>
      </c>
      <c r="AV33" s="515">
        <v>0</v>
      </c>
      <c r="AW33" s="516">
        <v>0</v>
      </c>
      <c r="AX33" s="516">
        <v>6123214</v>
      </c>
      <c r="AY33" s="516">
        <v>0</v>
      </c>
      <c r="AZ33" s="516">
        <v>0</v>
      </c>
      <c r="BA33" s="516">
        <v>0</v>
      </c>
      <c r="BB33" s="521">
        <v>0</v>
      </c>
      <c r="BC33" s="516">
        <v>0</v>
      </c>
      <c r="BD33" s="516">
        <v>332996</v>
      </c>
      <c r="BE33" s="516">
        <v>5969848</v>
      </c>
      <c r="BF33" s="516">
        <v>0</v>
      </c>
      <c r="BG33" s="516">
        <v>0</v>
      </c>
      <c r="BH33" s="517">
        <f>SUM(AV33:BG33)</f>
        <v>12426058</v>
      </c>
      <c r="BI33" s="518">
        <f>U33-AH33</f>
        <v>5906938</v>
      </c>
      <c r="BJ33" s="519">
        <f>AH33-AU33</f>
        <v>0</v>
      </c>
      <c r="BK33" s="520">
        <f>AU33-BH33</f>
        <v>0</v>
      </c>
    </row>
    <row r="34" spans="1:63" ht="21" customHeight="1" thickBot="1">
      <c r="A34" s="445" t="s">
        <v>127</v>
      </c>
      <c r="B34" s="446" t="s">
        <v>130</v>
      </c>
      <c r="C34" s="447" t="s">
        <v>159</v>
      </c>
      <c r="D34" s="446" t="s">
        <v>138</v>
      </c>
      <c r="E34" s="446" t="s">
        <v>136</v>
      </c>
      <c r="F34" s="523" t="s">
        <v>187</v>
      </c>
      <c r="G34" s="674" t="s">
        <v>284</v>
      </c>
      <c r="H34" s="525">
        <f t="shared" si="49"/>
        <v>1255800000</v>
      </c>
      <c r="I34" s="526">
        <v>-221146515</v>
      </c>
      <c r="J34" s="526">
        <v>0</v>
      </c>
      <c r="K34" s="526">
        <v>0</v>
      </c>
      <c r="L34" s="526">
        <v>0</v>
      </c>
      <c r="M34" s="526"/>
      <c r="N34" s="527">
        <f t="shared" si="1"/>
        <v>1034653485</v>
      </c>
      <c r="O34" s="525">
        <v>0</v>
      </c>
      <c r="P34" s="526">
        <v>-221146515</v>
      </c>
      <c r="Q34" s="526">
        <v>0</v>
      </c>
      <c r="R34" s="526">
        <v>0</v>
      </c>
      <c r="S34" s="526">
        <v>0</v>
      </c>
      <c r="T34" s="526">
        <v>1255800000</v>
      </c>
      <c r="U34" s="527">
        <f t="shared" si="32"/>
        <v>1034653485</v>
      </c>
      <c r="V34" s="525">
        <v>0</v>
      </c>
      <c r="W34" s="526">
        <v>0</v>
      </c>
      <c r="X34" s="526">
        <v>0</v>
      </c>
      <c r="Y34" s="526">
        <v>0</v>
      </c>
      <c r="Z34" s="526">
        <v>0</v>
      </c>
      <c r="AA34" s="526">
        <v>0</v>
      </c>
      <c r="AB34" s="528">
        <v>0</v>
      </c>
      <c r="AC34" s="526">
        <v>0</v>
      </c>
      <c r="AD34" s="526">
        <v>0</v>
      </c>
      <c r="AE34" s="526">
        <v>0</v>
      </c>
      <c r="AF34" s="526">
        <v>0</v>
      </c>
      <c r="AG34" s="526">
        <v>1034653485</v>
      </c>
      <c r="AH34" s="593">
        <f>SUM(V34:AG34)</f>
        <v>1034653485</v>
      </c>
      <c r="AI34" s="639">
        <f t="shared" si="21"/>
        <v>0</v>
      </c>
      <c r="AJ34" s="639">
        <f t="shared" si="53"/>
        <v>0</v>
      </c>
      <c r="AK34" s="639">
        <f t="shared" si="53"/>
        <v>0</v>
      </c>
      <c r="AL34" s="639">
        <f t="shared" si="53"/>
        <v>0</v>
      </c>
      <c r="AM34" s="639">
        <v>0</v>
      </c>
      <c r="AN34" s="639">
        <f t="shared" si="53"/>
        <v>0</v>
      </c>
      <c r="AO34" s="640">
        <f t="shared" si="53"/>
        <v>0</v>
      </c>
      <c r="AP34" s="639">
        <f t="shared" si="53"/>
        <v>0</v>
      </c>
      <c r="AQ34" s="516">
        <f t="shared" si="52"/>
        <v>0</v>
      </c>
      <c r="AR34" s="639">
        <f>BE34</f>
        <v>0</v>
      </c>
      <c r="AS34" s="639">
        <v>0</v>
      </c>
      <c r="AT34" s="639">
        <f>BG34</f>
        <v>0</v>
      </c>
      <c r="AU34" s="593">
        <f t="shared" si="42"/>
        <v>0</v>
      </c>
      <c r="AV34" s="641">
        <v>0</v>
      </c>
      <c r="AW34" s="639">
        <v>0</v>
      </c>
      <c r="AX34" s="526">
        <v>0</v>
      </c>
      <c r="AY34" s="526">
        <v>0</v>
      </c>
      <c r="AZ34" s="526">
        <v>0</v>
      </c>
      <c r="BA34" s="526">
        <v>0</v>
      </c>
      <c r="BB34" s="528">
        <v>0</v>
      </c>
      <c r="BC34" s="526">
        <v>0</v>
      </c>
      <c r="BD34" s="526">
        <v>0</v>
      </c>
      <c r="BE34" s="526">
        <v>0</v>
      </c>
      <c r="BF34" s="526">
        <v>0</v>
      </c>
      <c r="BG34" s="526">
        <v>0</v>
      </c>
      <c r="BH34" s="527">
        <f t="shared" si="37"/>
        <v>0</v>
      </c>
      <c r="BI34" s="529">
        <f t="shared" si="38"/>
        <v>0</v>
      </c>
      <c r="BJ34" s="530">
        <f t="shared" si="39"/>
        <v>1034653485</v>
      </c>
      <c r="BK34" s="531">
        <f t="shared" si="40"/>
        <v>0</v>
      </c>
    </row>
    <row r="35" spans="1:63" s="101" customFormat="1" ht="21" customHeight="1">
      <c r="A35" s="586" t="s">
        <v>162</v>
      </c>
      <c r="B35" s="587" t="s">
        <v>130</v>
      </c>
      <c r="C35" s="588" t="s">
        <v>163</v>
      </c>
      <c r="D35" s="587" t="s">
        <v>128</v>
      </c>
      <c r="E35" s="587" t="s">
        <v>128</v>
      </c>
      <c r="F35" s="589"/>
      <c r="G35" s="590" t="s">
        <v>164</v>
      </c>
      <c r="H35" s="591">
        <f>SUM(H36:H37)</f>
        <v>0</v>
      </c>
      <c r="I35" s="592">
        <f>SUM(I36:I37)</f>
        <v>0</v>
      </c>
      <c r="J35" s="592">
        <f>SUM(J36:J37)</f>
        <v>0</v>
      </c>
      <c r="K35" s="592">
        <f>SUM(K36:K37)</f>
        <v>0</v>
      </c>
      <c r="L35" s="592">
        <f>SUM(L36:L37)</f>
        <v>0</v>
      </c>
      <c r="M35" s="592">
        <f aca="true" t="shared" si="54" ref="M35:T35">SUM(M36:M37)</f>
        <v>0</v>
      </c>
      <c r="N35" s="593">
        <f t="shared" si="54"/>
        <v>0</v>
      </c>
      <c r="O35" s="591">
        <f t="shared" si="54"/>
        <v>0</v>
      </c>
      <c r="P35" s="592">
        <f t="shared" si="54"/>
        <v>0</v>
      </c>
      <c r="Q35" s="592">
        <f t="shared" si="54"/>
        <v>0</v>
      </c>
      <c r="R35" s="592">
        <f t="shared" si="54"/>
        <v>0</v>
      </c>
      <c r="S35" s="592">
        <f t="shared" si="54"/>
        <v>0</v>
      </c>
      <c r="T35" s="592">
        <f t="shared" si="54"/>
        <v>0</v>
      </c>
      <c r="U35" s="593">
        <f aca="true" t="shared" si="55" ref="U35:AE35">SUM(U36:U37)</f>
        <v>0</v>
      </c>
      <c r="V35" s="591">
        <f t="shared" si="55"/>
        <v>0</v>
      </c>
      <c r="W35" s="592">
        <f t="shared" si="55"/>
        <v>0</v>
      </c>
      <c r="X35" s="592">
        <f t="shared" si="55"/>
        <v>0</v>
      </c>
      <c r="Y35" s="592">
        <f t="shared" si="55"/>
        <v>0</v>
      </c>
      <c r="Z35" s="592">
        <f t="shared" si="55"/>
        <v>0</v>
      </c>
      <c r="AA35" s="592">
        <f t="shared" si="55"/>
        <v>0</v>
      </c>
      <c r="AB35" s="594">
        <f t="shared" si="55"/>
        <v>0</v>
      </c>
      <c r="AC35" s="592">
        <f t="shared" si="55"/>
        <v>0</v>
      </c>
      <c r="AD35" s="592">
        <f t="shared" si="55"/>
        <v>0</v>
      </c>
      <c r="AE35" s="592">
        <f t="shared" si="55"/>
        <v>0</v>
      </c>
      <c r="AF35" s="592">
        <f>SUM(AF36:AF37)</f>
        <v>0</v>
      </c>
      <c r="AG35" s="592">
        <f>SUM(AG36:AG37)</f>
        <v>0</v>
      </c>
      <c r="AH35" s="593">
        <f>SUM(V35:AG35)</f>
        <v>0</v>
      </c>
      <c r="AI35" s="591">
        <f>SUM(AI36:AI37)</f>
        <v>0</v>
      </c>
      <c r="AJ35" s="592">
        <f aca="true" t="shared" si="56" ref="AJ35:AT35">SUM(AJ36:AJ37)</f>
        <v>0</v>
      </c>
      <c r="AK35" s="592">
        <f t="shared" si="56"/>
        <v>0</v>
      </c>
      <c r="AL35" s="592">
        <f t="shared" si="56"/>
        <v>0</v>
      </c>
      <c r="AM35" s="592">
        <f t="shared" si="56"/>
        <v>0</v>
      </c>
      <c r="AN35" s="592">
        <f t="shared" si="56"/>
        <v>0</v>
      </c>
      <c r="AO35" s="594">
        <f t="shared" si="56"/>
        <v>0</v>
      </c>
      <c r="AP35" s="592">
        <f t="shared" si="56"/>
        <v>0</v>
      </c>
      <c r="AQ35" s="592">
        <f t="shared" si="56"/>
        <v>0</v>
      </c>
      <c r="AR35" s="592">
        <f t="shared" si="56"/>
        <v>0</v>
      </c>
      <c r="AS35" s="592">
        <f t="shared" si="56"/>
        <v>0</v>
      </c>
      <c r="AT35" s="592">
        <f t="shared" si="56"/>
        <v>0</v>
      </c>
      <c r="AU35" s="593">
        <f t="shared" si="42"/>
        <v>0</v>
      </c>
      <c r="AV35" s="591">
        <f aca="true" t="shared" si="57" ref="AV35:BG35">SUM(AV36:AV37)</f>
        <v>0</v>
      </c>
      <c r="AW35" s="592">
        <f t="shared" si="57"/>
        <v>0</v>
      </c>
      <c r="AX35" s="592">
        <f t="shared" si="57"/>
        <v>0</v>
      </c>
      <c r="AY35" s="592">
        <f t="shared" si="57"/>
        <v>0</v>
      </c>
      <c r="AZ35" s="592">
        <f t="shared" si="57"/>
        <v>0</v>
      </c>
      <c r="BA35" s="592">
        <f t="shared" si="57"/>
        <v>0</v>
      </c>
      <c r="BB35" s="594">
        <f t="shared" si="57"/>
        <v>0</v>
      </c>
      <c r="BC35" s="592">
        <f t="shared" si="57"/>
        <v>0</v>
      </c>
      <c r="BD35" s="592">
        <f t="shared" si="57"/>
        <v>0</v>
      </c>
      <c r="BE35" s="592">
        <f t="shared" si="57"/>
        <v>0</v>
      </c>
      <c r="BF35" s="592">
        <f t="shared" si="57"/>
        <v>0</v>
      </c>
      <c r="BG35" s="592">
        <f t="shared" si="57"/>
        <v>0</v>
      </c>
      <c r="BH35" s="593">
        <f>SUM(AV35:BG35)</f>
        <v>0</v>
      </c>
      <c r="BI35" s="595">
        <f t="shared" si="38"/>
        <v>0</v>
      </c>
      <c r="BJ35" s="596">
        <f t="shared" si="39"/>
        <v>0</v>
      </c>
      <c r="BK35" s="597">
        <f t="shared" si="40"/>
        <v>0</v>
      </c>
    </row>
    <row r="36" spans="1:63" ht="21" customHeight="1">
      <c r="A36" s="442" t="s">
        <v>162</v>
      </c>
      <c r="B36" s="443" t="s">
        <v>130</v>
      </c>
      <c r="C36" s="443" t="s">
        <v>165</v>
      </c>
      <c r="D36" s="443" t="s">
        <v>142</v>
      </c>
      <c r="E36" s="443" t="s">
        <v>128</v>
      </c>
      <c r="F36" s="513" t="s">
        <v>134</v>
      </c>
      <c r="G36" s="522" t="s">
        <v>166</v>
      </c>
      <c r="H36" s="515">
        <f>U36-SUM(I36:M36)</f>
        <v>0</v>
      </c>
      <c r="I36" s="516">
        <v>0</v>
      </c>
      <c r="J36" s="516">
        <v>0</v>
      </c>
      <c r="K36" s="516">
        <v>0</v>
      </c>
      <c r="L36" s="516">
        <v>0</v>
      </c>
      <c r="M36" s="516">
        <v>0</v>
      </c>
      <c r="N36" s="517">
        <f>SUM(H36:M36)</f>
        <v>0</v>
      </c>
      <c r="O36" s="515">
        <v>0</v>
      </c>
      <c r="P36" s="516">
        <v>0</v>
      </c>
      <c r="Q36" s="516">
        <v>0</v>
      </c>
      <c r="R36" s="516">
        <v>0</v>
      </c>
      <c r="S36" s="516">
        <v>0</v>
      </c>
      <c r="T36" s="516">
        <v>0</v>
      </c>
      <c r="U36" s="517">
        <f>SUM(O36:T36)</f>
        <v>0</v>
      </c>
      <c r="V36" s="515">
        <v>0</v>
      </c>
      <c r="W36" s="516">
        <v>0</v>
      </c>
      <c r="X36" s="516">
        <v>0</v>
      </c>
      <c r="Y36" s="516">
        <v>0</v>
      </c>
      <c r="Z36" s="516">
        <v>0</v>
      </c>
      <c r="AA36" s="516">
        <v>0</v>
      </c>
      <c r="AB36" s="521">
        <v>0</v>
      </c>
      <c r="AC36" s="516">
        <v>0</v>
      </c>
      <c r="AD36" s="516">
        <v>0</v>
      </c>
      <c r="AE36" s="516">
        <v>0</v>
      </c>
      <c r="AF36" s="516">
        <v>0</v>
      </c>
      <c r="AG36" s="516">
        <v>0</v>
      </c>
      <c r="AH36" s="517">
        <f>SUM(V36:AG36)</f>
        <v>0</v>
      </c>
      <c r="AI36" s="515">
        <f aca="true" t="shared" si="58" ref="AI36:AT37">AV36</f>
        <v>0</v>
      </c>
      <c r="AJ36" s="516">
        <f t="shared" si="58"/>
        <v>0</v>
      </c>
      <c r="AK36" s="516">
        <f t="shared" si="58"/>
        <v>0</v>
      </c>
      <c r="AL36" s="516">
        <f t="shared" si="58"/>
        <v>0</v>
      </c>
      <c r="AM36" s="516">
        <f t="shared" si="58"/>
        <v>0</v>
      </c>
      <c r="AN36" s="516">
        <f t="shared" si="58"/>
        <v>0</v>
      </c>
      <c r="AO36" s="521">
        <f t="shared" si="58"/>
        <v>0</v>
      </c>
      <c r="AP36" s="516">
        <f t="shared" si="58"/>
        <v>0</v>
      </c>
      <c r="AQ36" s="516">
        <f t="shared" si="58"/>
        <v>0</v>
      </c>
      <c r="AR36" s="516">
        <f t="shared" si="58"/>
        <v>0</v>
      </c>
      <c r="AS36" s="516">
        <f t="shared" si="58"/>
        <v>0</v>
      </c>
      <c r="AT36" s="516">
        <f t="shared" si="58"/>
        <v>0</v>
      </c>
      <c r="AU36" s="517">
        <f t="shared" si="42"/>
        <v>0</v>
      </c>
      <c r="AV36" s="515">
        <v>0</v>
      </c>
      <c r="AW36" s="516">
        <v>0</v>
      </c>
      <c r="AX36" s="516">
        <v>0</v>
      </c>
      <c r="AY36" s="516">
        <v>0</v>
      </c>
      <c r="AZ36" s="516">
        <v>0</v>
      </c>
      <c r="BA36" s="516">
        <v>0</v>
      </c>
      <c r="BB36" s="521">
        <v>0</v>
      </c>
      <c r="BC36" s="516">
        <v>0</v>
      </c>
      <c r="BD36" s="516">
        <v>0</v>
      </c>
      <c r="BE36" s="516">
        <v>0</v>
      </c>
      <c r="BF36" s="516">
        <v>0</v>
      </c>
      <c r="BG36" s="516">
        <v>0</v>
      </c>
      <c r="BH36" s="517">
        <f>SUM(AV36:BG36)</f>
        <v>0</v>
      </c>
      <c r="BI36" s="518">
        <f t="shared" si="38"/>
        <v>0</v>
      </c>
      <c r="BJ36" s="519">
        <f t="shared" si="39"/>
        <v>0</v>
      </c>
      <c r="BK36" s="520">
        <f t="shared" si="40"/>
        <v>0</v>
      </c>
    </row>
    <row r="37" spans="1:63" ht="21" customHeight="1" thickBot="1">
      <c r="A37" s="445" t="s">
        <v>162</v>
      </c>
      <c r="B37" s="446" t="s">
        <v>130</v>
      </c>
      <c r="C37" s="447" t="s">
        <v>167</v>
      </c>
      <c r="D37" s="446" t="s">
        <v>142</v>
      </c>
      <c r="E37" s="446" t="s">
        <v>128</v>
      </c>
      <c r="F37" s="523" t="s">
        <v>134</v>
      </c>
      <c r="G37" s="524" t="s">
        <v>168</v>
      </c>
      <c r="H37" s="525">
        <f>U37-SUM(I37:M37)</f>
        <v>0</v>
      </c>
      <c r="I37" s="526">
        <v>0</v>
      </c>
      <c r="J37" s="526">
        <v>0</v>
      </c>
      <c r="K37" s="526">
        <v>0</v>
      </c>
      <c r="L37" s="526">
        <v>0</v>
      </c>
      <c r="M37" s="526">
        <v>0</v>
      </c>
      <c r="N37" s="527">
        <f>SUM(H37:M37)</f>
        <v>0</v>
      </c>
      <c r="O37" s="525">
        <v>0</v>
      </c>
      <c r="P37" s="526">
        <v>0</v>
      </c>
      <c r="Q37" s="526">
        <v>0</v>
      </c>
      <c r="R37" s="526">
        <v>0</v>
      </c>
      <c r="S37" s="526">
        <v>0</v>
      </c>
      <c r="T37" s="526">
        <v>0</v>
      </c>
      <c r="U37" s="527">
        <f>SUM(O37:T37)</f>
        <v>0</v>
      </c>
      <c r="V37" s="525">
        <v>0</v>
      </c>
      <c r="W37" s="526">
        <v>0</v>
      </c>
      <c r="X37" s="526">
        <v>0</v>
      </c>
      <c r="Y37" s="526">
        <v>0</v>
      </c>
      <c r="Z37" s="526">
        <v>0</v>
      </c>
      <c r="AA37" s="526">
        <v>0</v>
      </c>
      <c r="AB37" s="528">
        <v>0</v>
      </c>
      <c r="AC37" s="526">
        <v>0</v>
      </c>
      <c r="AD37" s="526">
        <v>0</v>
      </c>
      <c r="AE37" s="526">
        <v>0</v>
      </c>
      <c r="AF37" s="526">
        <v>0</v>
      </c>
      <c r="AG37" s="526">
        <v>0</v>
      </c>
      <c r="AH37" s="527">
        <f>SUM(V37:AG37)</f>
        <v>0</v>
      </c>
      <c r="AI37" s="525">
        <f t="shared" si="58"/>
        <v>0</v>
      </c>
      <c r="AJ37" s="526">
        <f t="shared" si="58"/>
        <v>0</v>
      </c>
      <c r="AK37" s="526">
        <f t="shared" si="58"/>
        <v>0</v>
      </c>
      <c r="AL37" s="526">
        <f t="shared" si="58"/>
        <v>0</v>
      </c>
      <c r="AM37" s="526">
        <f t="shared" si="58"/>
        <v>0</v>
      </c>
      <c r="AN37" s="526">
        <f t="shared" si="58"/>
        <v>0</v>
      </c>
      <c r="AO37" s="528">
        <f t="shared" si="58"/>
        <v>0</v>
      </c>
      <c r="AP37" s="526">
        <f t="shared" si="58"/>
        <v>0</v>
      </c>
      <c r="AQ37" s="526">
        <f t="shared" si="58"/>
        <v>0</v>
      </c>
      <c r="AR37" s="526">
        <f t="shared" si="58"/>
        <v>0</v>
      </c>
      <c r="AS37" s="526">
        <f t="shared" si="58"/>
        <v>0</v>
      </c>
      <c r="AT37" s="526">
        <f t="shared" si="58"/>
        <v>0</v>
      </c>
      <c r="AU37" s="527">
        <f t="shared" si="42"/>
        <v>0</v>
      </c>
      <c r="AV37" s="525">
        <v>0</v>
      </c>
      <c r="AW37" s="526">
        <v>0</v>
      </c>
      <c r="AX37" s="526">
        <v>0</v>
      </c>
      <c r="AY37" s="526">
        <v>0</v>
      </c>
      <c r="AZ37" s="526">
        <v>0</v>
      </c>
      <c r="BA37" s="526">
        <v>0</v>
      </c>
      <c r="BB37" s="528">
        <v>0</v>
      </c>
      <c r="BC37" s="526">
        <v>0</v>
      </c>
      <c r="BD37" s="526">
        <v>0</v>
      </c>
      <c r="BE37" s="526">
        <v>0</v>
      </c>
      <c r="BF37" s="526">
        <v>0</v>
      </c>
      <c r="BG37" s="526">
        <v>0</v>
      </c>
      <c r="BH37" s="527">
        <f>SUM(AV37:BG37)</f>
        <v>0</v>
      </c>
      <c r="BI37" s="529">
        <f t="shared" si="38"/>
        <v>0</v>
      </c>
      <c r="BJ37" s="530">
        <f t="shared" si="39"/>
        <v>0</v>
      </c>
      <c r="BK37" s="531">
        <f t="shared" si="40"/>
        <v>0</v>
      </c>
    </row>
    <row r="38" spans="1:63" ht="15.75" thickBot="1">
      <c r="A38" s="434"/>
      <c r="B38" s="434"/>
      <c r="C38" s="434"/>
      <c r="D38" s="434"/>
      <c r="E38" s="434"/>
      <c r="F38" s="453"/>
      <c r="G38" s="454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6"/>
      <c r="AC38" s="455"/>
      <c r="AD38" s="455"/>
      <c r="AE38" s="455"/>
      <c r="AF38" s="455"/>
      <c r="AG38" s="455"/>
      <c r="AH38" s="457"/>
      <c r="AI38" s="455"/>
      <c r="AJ38" s="455"/>
      <c r="AK38" s="455"/>
      <c r="AL38" s="455"/>
      <c r="AM38" s="455"/>
      <c r="AN38" s="455"/>
      <c r="AO38" s="456"/>
      <c r="AP38" s="455"/>
      <c r="AQ38" s="455"/>
      <c r="AR38" s="455"/>
      <c r="AS38" s="455"/>
      <c r="AT38" s="455"/>
      <c r="AU38" s="457"/>
      <c r="AV38" s="455"/>
      <c r="AW38" s="455"/>
      <c r="AX38" s="455"/>
      <c r="AY38" s="455"/>
      <c r="AZ38" s="455"/>
      <c r="BA38" s="455"/>
      <c r="BB38" s="456"/>
      <c r="BC38" s="455"/>
      <c r="BD38" s="455"/>
      <c r="BE38" s="455"/>
      <c r="BF38" s="455"/>
      <c r="BG38" s="455"/>
      <c r="BH38" s="457"/>
      <c r="BI38" s="455"/>
      <c r="BJ38" s="455"/>
      <c r="BK38" s="455"/>
    </row>
    <row r="39" spans="1:63" ht="15.75" thickBot="1">
      <c r="A39" s="437" t="s">
        <v>169</v>
      </c>
      <c r="B39" s="438"/>
      <c r="C39" s="438"/>
      <c r="D39" s="438"/>
      <c r="E39" s="438"/>
      <c r="F39" s="497"/>
      <c r="G39" s="498" t="s">
        <v>170</v>
      </c>
      <c r="H39" s="499">
        <f aca="true" t="shared" si="59" ref="H39:AI39">H43+H57</f>
        <v>149558114340</v>
      </c>
      <c r="I39" s="500">
        <f t="shared" si="59"/>
        <v>-300000000</v>
      </c>
      <c r="J39" s="500">
        <f t="shared" si="59"/>
        <v>300000000</v>
      </c>
      <c r="K39" s="500">
        <f t="shared" si="59"/>
        <v>0</v>
      </c>
      <c r="L39" s="500">
        <f t="shared" si="59"/>
        <v>-1818581820</v>
      </c>
      <c r="M39" s="500">
        <f t="shared" si="59"/>
        <v>2500000000</v>
      </c>
      <c r="N39" s="501">
        <f t="shared" si="59"/>
        <v>150239532520</v>
      </c>
      <c r="O39" s="499">
        <f t="shared" si="59"/>
        <v>149558114340</v>
      </c>
      <c r="P39" s="500">
        <f t="shared" si="59"/>
        <v>-300000000</v>
      </c>
      <c r="Q39" s="500">
        <f t="shared" si="59"/>
        <v>300000000</v>
      </c>
      <c r="R39" s="500">
        <f t="shared" si="59"/>
        <v>0</v>
      </c>
      <c r="S39" s="500">
        <f t="shared" si="59"/>
        <v>-1818581820</v>
      </c>
      <c r="T39" s="500">
        <f t="shared" si="59"/>
        <v>2500000000</v>
      </c>
      <c r="U39" s="501">
        <f t="shared" si="59"/>
        <v>150239532520</v>
      </c>
      <c r="V39" s="499">
        <f t="shared" si="59"/>
        <v>127758114340</v>
      </c>
      <c r="W39" s="500">
        <f t="shared" si="59"/>
        <v>0</v>
      </c>
      <c r="X39" s="500">
        <f t="shared" si="59"/>
        <v>0</v>
      </c>
      <c r="Y39" s="500">
        <f t="shared" si="59"/>
        <v>0</v>
      </c>
      <c r="Z39" s="500">
        <f t="shared" si="59"/>
        <v>0</v>
      </c>
      <c r="AA39" s="500">
        <f t="shared" si="59"/>
        <v>450558552</v>
      </c>
      <c r="AB39" s="502">
        <f t="shared" si="59"/>
        <v>58232411</v>
      </c>
      <c r="AC39" s="500">
        <f t="shared" si="59"/>
        <v>20050574250</v>
      </c>
      <c r="AD39" s="500">
        <f t="shared" si="59"/>
        <v>615479305</v>
      </c>
      <c r="AE39" s="500">
        <f t="shared" si="59"/>
        <v>6569650</v>
      </c>
      <c r="AF39" s="500">
        <f t="shared" si="59"/>
        <v>0</v>
      </c>
      <c r="AG39" s="500">
        <f t="shared" si="59"/>
        <v>759561614</v>
      </c>
      <c r="AH39" s="501">
        <f t="shared" si="59"/>
        <v>149699090122</v>
      </c>
      <c r="AI39" s="499">
        <f t="shared" si="59"/>
        <v>519160159</v>
      </c>
      <c r="AJ39" s="500">
        <f aca="true" t="shared" si="60" ref="AJ39:AT39">AJ43+AJ57</f>
        <v>9731547995</v>
      </c>
      <c r="AK39" s="500">
        <f t="shared" si="60"/>
        <v>11957036849</v>
      </c>
      <c r="AL39" s="500">
        <f t="shared" si="60"/>
        <v>5848248311</v>
      </c>
      <c r="AM39" s="500">
        <f t="shared" si="60"/>
        <v>12422934324</v>
      </c>
      <c r="AN39" s="500">
        <f t="shared" si="60"/>
        <v>8165941352</v>
      </c>
      <c r="AO39" s="502">
        <f t="shared" si="60"/>
        <v>14213292642</v>
      </c>
      <c r="AP39" s="500">
        <f t="shared" si="60"/>
        <v>9266729050</v>
      </c>
      <c r="AQ39" s="500">
        <f t="shared" si="60"/>
        <v>18882342171</v>
      </c>
      <c r="AR39" s="500">
        <f t="shared" si="60"/>
        <v>13902410478</v>
      </c>
      <c r="AS39" s="500">
        <f t="shared" si="60"/>
        <v>9845663646</v>
      </c>
      <c r="AT39" s="500">
        <f t="shared" si="60"/>
        <v>15512708856</v>
      </c>
      <c r="AU39" s="501">
        <f aca="true" t="shared" si="61" ref="AU39:BK39">AU43+AU57</f>
        <v>130268015833</v>
      </c>
      <c r="AV39" s="499">
        <f t="shared" si="61"/>
        <v>519160159</v>
      </c>
      <c r="AW39" s="500">
        <f t="shared" si="61"/>
        <v>9731547995</v>
      </c>
      <c r="AX39" s="500">
        <f t="shared" si="61"/>
        <v>11957036849</v>
      </c>
      <c r="AY39" s="500">
        <f t="shared" si="61"/>
        <v>5848248311</v>
      </c>
      <c r="AZ39" s="500">
        <f t="shared" si="61"/>
        <v>12422934324</v>
      </c>
      <c r="BA39" s="500">
        <f t="shared" si="61"/>
        <v>8165941352</v>
      </c>
      <c r="BB39" s="502">
        <f t="shared" si="61"/>
        <v>14213292642</v>
      </c>
      <c r="BC39" s="500">
        <f t="shared" si="61"/>
        <v>9266729050</v>
      </c>
      <c r="BD39" s="500">
        <f t="shared" si="61"/>
        <v>18882342171</v>
      </c>
      <c r="BE39" s="500">
        <f t="shared" si="61"/>
        <v>13902410478</v>
      </c>
      <c r="BF39" s="500">
        <f t="shared" si="61"/>
        <v>9845663646</v>
      </c>
      <c r="BG39" s="500">
        <f t="shared" si="61"/>
        <v>15512708856</v>
      </c>
      <c r="BH39" s="501">
        <f t="shared" si="61"/>
        <v>130268015833</v>
      </c>
      <c r="BI39" s="499">
        <f t="shared" si="61"/>
        <v>540442398</v>
      </c>
      <c r="BJ39" s="503">
        <f t="shared" si="61"/>
        <v>19431074289</v>
      </c>
      <c r="BK39" s="501">
        <f t="shared" si="61"/>
        <v>0</v>
      </c>
    </row>
    <row r="40" spans="1:63" ht="15.75" thickBot="1">
      <c r="A40" s="434"/>
      <c r="B40" s="434"/>
      <c r="C40" s="434"/>
      <c r="D40" s="434"/>
      <c r="E40" s="434"/>
      <c r="F40" s="453"/>
      <c r="G40" s="454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6"/>
      <c r="AC40" s="455"/>
      <c r="AD40" s="455"/>
      <c r="AE40" s="455"/>
      <c r="AF40" s="455"/>
      <c r="AG40" s="455"/>
      <c r="AH40" s="457"/>
      <c r="AI40" s="455"/>
      <c r="AJ40" s="455"/>
      <c r="AK40" s="455"/>
      <c r="AL40" s="455"/>
      <c r="AM40" s="455"/>
      <c r="AN40" s="455"/>
      <c r="AO40" s="456"/>
      <c r="AP40" s="455"/>
      <c r="AQ40" s="455"/>
      <c r="AR40" s="455"/>
      <c r="AS40" s="455"/>
      <c r="AT40" s="455"/>
      <c r="AU40" s="457"/>
      <c r="AV40" s="455"/>
      <c r="AW40" s="455"/>
      <c r="AX40" s="455"/>
      <c r="AY40" s="455"/>
      <c r="AZ40" s="455"/>
      <c r="BA40" s="455"/>
      <c r="BB40" s="456"/>
      <c r="BC40" s="455"/>
      <c r="BD40" s="455"/>
      <c r="BE40" s="455"/>
      <c r="BF40" s="455"/>
      <c r="BG40" s="455"/>
      <c r="BH40" s="457"/>
      <c r="BI40" s="455"/>
      <c r="BJ40" s="455"/>
      <c r="BK40" s="455"/>
    </row>
    <row r="41" spans="1:63" ht="15.75" thickBot="1">
      <c r="A41" s="435" t="s">
        <v>126</v>
      </c>
      <c r="B41" s="436"/>
      <c r="C41" s="436"/>
      <c r="D41" s="436"/>
      <c r="E41" s="436"/>
      <c r="F41" s="492"/>
      <c r="G41" s="493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94"/>
      <c r="T41" s="494"/>
      <c r="U41" s="494"/>
      <c r="V41" s="494"/>
      <c r="W41" s="494"/>
      <c r="X41" s="494"/>
      <c r="Y41" s="494"/>
      <c r="Z41" s="494"/>
      <c r="AA41" s="494"/>
      <c r="AB41" s="495"/>
      <c r="AC41" s="494"/>
      <c r="AD41" s="494"/>
      <c r="AE41" s="494"/>
      <c r="AF41" s="494"/>
      <c r="AG41" s="494"/>
      <c r="AH41" s="494"/>
      <c r="AI41" s="494"/>
      <c r="AJ41" s="494"/>
      <c r="AK41" s="494"/>
      <c r="AL41" s="494"/>
      <c r="AM41" s="494"/>
      <c r="AN41" s="494"/>
      <c r="AO41" s="495"/>
      <c r="AP41" s="494"/>
      <c r="AQ41" s="494"/>
      <c r="AR41" s="494"/>
      <c r="AS41" s="494"/>
      <c r="AT41" s="494"/>
      <c r="AU41" s="494"/>
      <c r="AV41" s="494"/>
      <c r="AW41" s="494"/>
      <c r="AX41" s="494"/>
      <c r="AY41" s="494"/>
      <c r="AZ41" s="494"/>
      <c r="BA41" s="494"/>
      <c r="BB41" s="495"/>
      <c r="BC41" s="494"/>
      <c r="BD41" s="494"/>
      <c r="BE41" s="494"/>
      <c r="BF41" s="494"/>
      <c r="BG41" s="494"/>
      <c r="BH41" s="494"/>
      <c r="BI41" s="494"/>
      <c r="BJ41" s="494"/>
      <c r="BK41" s="496"/>
    </row>
    <row r="42" spans="1:63" ht="15.75" thickBot="1">
      <c r="A42" s="434"/>
      <c r="B42" s="434"/>
      <c r="C42" s="434"/>
      <c r="D42" s="434"/>
      <c r="E42" s="434"/>
      <c r="F42" s="453"/>
      <c r="G42" s="454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6"/>
      <c r="AC42" s="455"/>
      <c r="AD42" s="455"/>
      <c r="AE42" s="455"/>
      <c r="AF42" s="455"/>
      <c r="AG42" s="455"/>
      <c r="AH42" s="457"/>
      <c r="AI42" s="455"/>
      <c r="AJ42" s="455"/>
      <c r="AK42" s="455"/>
      <c r="AL42" s="455"/>
      <c r="AM42" s="455"/>
      <c r="AN42" s="455"/>
      <c r="AO42" s="456"/>
      <c r="AP42" s="455"/>
      <c r="AQ42" s="455"/>
      <c r="AR42" s="455"/>
      <c r="AS42" s="455"/>
      <c r="AT42" s="455"/>
      <c r="AU42" s="457"/>
      <c r="AV42" s="455"/>
      <c r="AW42" s="455"/>
      <c r="AX42" s="455"/>
      <c r="AY42" s="455"/>
      <c r="AZ42" s="455"/>
      <c r="BA42" s="455"/>
      <c r="BB42" s="456"/>
      <c r="BC42" s="455"/>
      <c r="BD42" s="455"/>
      <c r="BE42" s="455"/>
      <c r="BF42" s="455"/>
      <c r="BG42" s="455"/>
      <c r="BH42" s="457"/>
      <c r="BI42" s="455"/>
      <c r="BJ42" s="455"/>
      <c r="BK42" s="455"/>
    </row>
    <row r="43" spans="1:63" ht="30.75" customHeight="1" thickBot="1">
      <c r="A43" s="437" t="s">
        <v>169</v>
      </c>
      <c r="B43" s="438" t="s">
        <v>128</v>
      </c>
      <c r="C43" s="438" t="s">
        <v>128</v>
      </c>
      <c r="D43" s="438" t="s">
        <v>128</v>
      </c>
      <c r="E43" s="438" t="s">
        <v>128</v>
      </c>
      <c r="F43" s="497" t="s">
        <v>128</v>
      </c>
      <c r="G43" s="532" t="s">
        <v>171</v>
      </c>
      <c r="H43" s="499">
        <f>H44+H46+H48</f>
        <v>117139114340</v>
      </c>
      <c r="I43" s="500">
        <f aca="true" t="shared" si="62" ref="I43:BK43">I44+I46+I48</f>
        <v>0</v>
      </c>
      <c r="J43" s="500">
        <f t="shared" si="62"/>
        <v>0</v>
      </c>
      <c r="K43" s="500">
        <f t="shared" si="62"/>
        <v>0</v>
      </c>
      <c r="L43" s="500">
        <f t="shared" si="62"/>
        <v>-18581820</v>
      </c>
      <c r="M43" s="500">
        <f t="shared" si="62"/>
        <v>0</v>
      </c>
      <c r="N43" s="501">
        <f t="shared" si="62"/>
        <v>117120532520</v>
      </c>
      <c r="O43" s="499">
        <f t="shared" si="62"/>
        <v>117139114340</v>
      </c>
      <c r="P43" s="500">
        <f t="shared" si="62"/>
        <v>0</v>
      </c>
      <c r="Q43" s="500">
        <f t="shared" si="62"/>
        <v>0</v>
      </c>
      <c r="R43" s="500">
        <f t="shared" si="62"/>
        <v>0</v>
      </c>
      <c r="S43" s="500">
        <f t="shared" si="62"/>
        <v>-18581820</v>
      </c>
      <c r="T43" s="500">
        <f t="shared" si="62"/>
        <v>0</v>
      </c>
      <c r="U43" s="501">
        <f t="shared" si="62"/>
        <v>117120532520</v>
      </c>
      <c r="V43" s="499">
        <f t="shared" si="62"/>
        <v>115939114340</v>
      </c>
      <c r="W43" s="500">
        <f t="shared" si="62"/>
        <v>0</v>
      </c>
      <c r="X43" s="500">
        <f t="shared" si="62"/>
        <v>0</v>
      </c>
      <c r="Y43" s="500">
        <f t="shared" si="62"/>
        <v>0</v>
      </c>
      <c r="Z43" s="500">
        <f t="shared" si="62"/>
        <v>0</v>
      </c>
      <c r="AA43" s="500">
        <f t="shared" si="62"/>
        <v>450558552</v>
      </c>
      <c r="AB43" s="502">
        <f t="shared" si="62"/>
        <v>58232411</v>
      </c>
      <c r="AC43" s="500">
        <f t="shared" si="62"/>
        <v>50574250</v>
      </c>
      <c r="AD43" s="500">
        <f t="shared" si="62"/>
        <v>615479305</v>
      </c>
      <c r="AE43" s="500">
        <f t="shared" si="62"/>
        <v>6569650</v>
      </c>
      <c r="AF43" s="500">
        <f t="shared" si="62"/>
        <v>0</v>
      </c>
      <c r="AG43" s="500">
        <f t="shared" si="62"/>
        <v>-540438386</v>
      </c>
      <c r="AH43" s="501">
        <f t="shared" si="62"/>
        <v>116580090122</v>
      </c>
      <c r="AI43" s="499">
        <f t="shared" si="62"/>
        <v>519160159</v>
      </c>
      <c r="AJ43" s="500">
        <f aca="true" t="shared" si="63" ref="AJ43:AT43">AJ44+AJ46+AJ48</f>
        <v>9451130327</v>
      </c>
      <c r="AK43" s="500">
        <f t="shared" si="63"/>
        <v>10646958684</v>
      </c>
      <c r="AL43" s="500">
        <f t="shared" si="63"/>
        <v>5118937552</v>
      </c>
      <c r="AM43" s="500">
        <f t="shared" si="63"/>
        <v>11912866388</v>
      </c>
      <c r="AN43" s="500">
        <f t="shared" si="63"/>
        <v>7290855552</v>
      </c>
      <c r="AO43" s="502">
        <f t="shared" si="63"/>
        <v>13617143644</v>
      </c>
      <c r="AP43" s="500">
        <f t="shared" si="63"/>
        <v>5260463746</v>
      </c>
      <c r="AQ43" s="500">
        <f t="shared" si="63"/>
        <v>13109576342</v>
      </c>
      <c r="AR43" s="500">
        <f t="shared" si="63"/>
        <v>8905410717</v>
      </c>
      <c r="AS43" s="500">
        <f t="shared" si="63"/>
        <v>5614616235</v>
      </c>
      <c r="AT43" s="500">
        <f t="shared" si="63"/>
        <v>9622115199</v>
      </c>
      <c r="AU43" s="501">
        <f t="shared" si="62"/>
        <v>101069234545</v>
      </c>
      <c r="AV43" s="499">
        <f t="shared" si="62"/>
        <v>519160159</v>
      </c>
      <c r="AW43" s="500">
        <f t="shared" si="62"/>
        <v>9451130327</v>
      </c>
      <c r="AX43" s="500">
        <f t="shared" si="62"/>
        <v>10646958684</v>
      </c>
      <c r="AY43" s="500">
        <f t="shared" si="62"/>
        <v>5118937552</v>
      </c>
      <c r="AZ43" s="500">
        <f t="shared" si="62"/>
        <v>11912866388</v>
      </c>
      <c r="BA43" s="500">
        <f t="shared" si="62"/>
        <v>7290855552</v>
      </c>
      <c r="BB43" s="502">
        <f t="shared" si="62"/>
        <v>13617143644</v>
      </c>
      <c r="BC43" s="500">
        <f t="shared" si="62"/>
        <v>5260463746</v>
      </c>
      <c r="BD43" s="500">
        <f t="shared" si="62"/>
        <v>13109576342</v>
      </c>
      <c r="BE43" s="500">
        <f t="shared" si="62"/>
        <v>8905410717</v>
      </c>
      <c r="BF43" s="500">
        <f t="shared" si="62"/>
        <v>5614616235</v>
      </c>
      <c r="BG43" s="500">
        <f t="shared" si="62"/>
        <v>9622115199</v>
      </c>
      <c r="BH43" s="501">
        <f t="shared" si="62"/>
        <v>101069234545</v>
      </c>
      <c r="BI43" s="500">
        <f t="shared" si="62"/>
        <v>540442398</v>
      </c>
      <c r="BJ43" s="533">
        <f t="shared" si="62"/>
        <v>15510855577</v>
      </c>
      <c r="BK43" s="501">
        <f t="shared" si="62"/>
        <v>0</v>
      </c>
    </row>
    <row r="44" spans="1:63" ht="30.75" customHeight="1">
      <c r="A44" s="439" t="s">
        <v>169</v>
      </c>
      <c r="B44" s="440" t="s">
        <v>130</v>
      </c>
      <c r="C44" s="440" t="s">
        <v>172</v>
      </c>
      <c r="D44" s="440" t="s">
        <v>128</v>
      </c>
      <c r="E44" s="440" t="s">
        <v>128</v>
      </c>
      <c r="F44" s="504" t="s">
        <v>128</v>
      </c>
      <c r="G44" s="534" t="s">
        <v>173</v>
      </c>
      <c r="H44" s="506">
        <f>H45</f>
        <v>1200000000</v>
      </c>
      <c r="I44" s="507">
        <f aca="true" t="shared" si="64" ref="I44:BK44">I45</f>
        <v>0</v>
      </c>
      <c r="J44" s="507">
        <f t="shared" si="64"/>
        <v>0</v>
      </c>
      <c r="K44" s="507">
        <f t="shared" si="64"/>
        <v>0</v>
      </c>
      <c r="L44" s="507">
        <f t="shared" si="64"/>
        <v>-18581820</v>
      </c>
      <c r="M44" s="507">
        <f t="shared" si="64"/>
        <v>0</v>
      </c>
      <c r="N44" s="508">
        <f t="shared" si="64"/>
        <v>1181418180</v>
      </c>
      <c r="O44" s="506">
        <f t="shared" si="64"/>
        <v>1200000000</v>
      </c>
      <c r="P44" s="507">
        <f t="shared" si="64"/>
        <v>0</v>
      </c>
      <c r="Q44" s="507">
        <f t="shared" si="64"/>
        <v>0</v>
      </c>
      <c r="R44" s="507">
        <f t="shared" si="64"/>
        <v>0</v>
      </c>
      <c r="S44" s="507">
        <f t="shared" si="64"/>
        <v>-18581820</v>
      </c>
      <c r="T44" s="507">
        <f t="shared" si="64"/>
        <v>0</v>
      </c>
      <c r="U44" s="508">
        <f t="shared" si="64"/>
        <v>1181418180</v>
      </c>
      <c r="V44" s="506">
        <f t="shared" si="64"/>
        <v>0</v>
      </c>
      <c r="W44" s="507">
        <f t="shared" si="64"/>
        <v>0</v>
      </c>
      <c r="X44" s="507">
        <f t="shared" si="64"/>
        <v>0</v>
      </c>
      <c r="Y44" s="507">
        <f t="shared" si="64"/>
        <v>0</v>
      </c>
      <c r="Z44" s="507">
        <f t="shared" si="64"/>
        <v>0</v>
      </c>
      <c r="AA44" s="507">
        <f t="shared" si="64"/>
        <v>450558552</v>
      </c>
      <c r="AB44" s="509">
        <f t="shared" si="64"/>
        <v>58232411</v>
      </c>
      <c r="AC44" s="507">
        <f t="shared" si="64"/>
        <v>50574250</v>
      </c>
      <c r="AD44" s="507">
        <f t="shared" si="64"/>
        <v>615479305</v>
      </c>
      <c r="AE44" s="507">
        <f t="shared" si="64"/>
        <v>6569650</v>
      </c>
      <c r="AF44" s="507">
        <f t="shared" si="64"/>
        <v>0</v>
      </c>
      <c r="AG44" s="507">
        <f t="shared" si="64"/>
        <v>-15135441</v>
      </c>
      <c r="AH44" s="508">
        <f t="shared" si="64"/>
        <v>1166278727</v>
      </c>
      <c r="AI44" s="506">
        <f t="shared" si="64"/>
        <v>0</v>
      </c>
      <c r="AJ44" s="507">
        <f t="shared" si="64"/>
        <v>0</v>
      </c>
      <c r="AK44" s="507">
        <f t="shared" si="64"/>
        <v>0</v>
      </c>
      <c r="AL44" s="507">
        <f t="shared" si="64"/>
        <v>0</v>
      </c>
      <c r="AM44" s="507">
        <f t="shared" si="64"/>
        <v>0</v>
      </c>
      <c r="AN44" s="507">
        <f t="shared" si="64"/>
        <v>0</v>
      </c>
      <c r="AO44" s="509">
        <f t="shared" si="64"/>
        <v>57884735</v>
      </c>
      <c r="AP44" s="507">
        <f t="shared" si="64"/>
        <v>17975766</v>
      </c>
      <c r="AQ44" s="507">
        <f t="shared" si="64"/>
        <v>20709572</v>
      </c>
      <c r="AR44" s="507">
        <f t="shared" si="64"/>
        <v>26291620</v>
      </c>
      <c r="AS44" s="507">
        <f t="shared" si="64"/>
        <v>0</v>
      </c>
      <c r="AT44" s="507">
        <f t="shared" si="64"/>
        <v>210148432</v>
      </c>
      <c r="AU44" s="508">
        <f t="shared" si="64"/>
        <v>333010125</v>
      </c>
      <c r="AV44" s="506">
        <f t="shared" si="64"/>
        <v>0</v>
      </c>
      <c r="AW44" s="507">
        <f t="shared" si="64"/>
        <v>0</v>
      </c>
      <c r="AX44" s="507">
        <f t="shared" si="64"/>
        <v>0</v>
      </c>
      <c r="AY44" s="507">
        <f t="shared" si="64"/>
        <v>0</v>
      </c>
      <c r="AZ44" s="507">
        <f t="shared" si="64"/>
        <v>0</v>
      </c>
      <c r="BA44" s="507">
        <f t="shared" si="64"/>
        <v>0</v>
      </c>
      <c r="BB44" s="509">
        <f t="shared" si="64"/>
        <v>57884735</v>
      </c>
      <c r="BC44" s="507">
        <f t="shared" si="64"/>
        <v>17975766</v>
      </c>
      <c r="BD44" s="507">
        <f t="shared" si="64"/>
        <v>20709572</v>
      </c>
      <c r="BE44" s="507">
        <f t="shared" si="64"/>
        <v>26291620</v>
      </c>
      <c r="BF44" s="507">
        <f t="shared" si="64"/>
        <v>0</v>
      </c>
      <c r="BG44" s="507">
        <f t="shared" si="64"/>
        <v>210148432</v>
      </c>
      <c r="BH44" s="508">
        <f t="shared" si="64"/>
        <v>333010125</v>
      </c>
      <c r="BI44" s="535">
        <f t="shared" si="64"/>
        <v>15139453</v>
      </c>
      <c r="BJ44" s="536">
        <f t="shared" si="64"/>
        <v>833268602</v>
      </c>
      <c r="BK44" s="512">
        <f t="shared" si="64"/>
        <v>0</v>
      </c>
    </row>
    <row r="45" spans="1:63" ht="30.75" customHeight="1" thickBot="1">
      <c r="A45" s="442" t="s">
        <v>169</v>
      </c>
      <c r="B45" s="443" t="s">
        <v>130</v>
      </c>
      <c r="C45" s="443" t="s">
        <v>172</v>
      </c>
      <c r="D45" s="443" t="s">
        <v>174</v>
      </c>
      <c r="E45" s="443" t="s">
        <v>138</v>
      </c>
      <c r="F45" s="513" t="s">
        <v>134</v>
      </c>
      <c r="G45" s="537" t="s">
        <v>175</v>
      </c>
      <c r="H45" s="515">
        <f>U45-SUM(I45:M45)</f>
        <v>1200000000</v>
      </c>
      <c r="I45" s="516"/>
      <c r="J45" s="516">
        <v>0</v>
      </c>
      <c r="K45" s="516">
        <v>0</v>
      </c>
      <c r="L45" s="516">
        <v>-18581820</v>
      </c>
      <c r="M45" s="516">
        <v>0</v>
      </c>
      <c r="N45" s="517">
        <f>SUM(H45:M45)</f>
        <v>1181418180</v>
      </c>
      <c r="O45" s="515">
        <v>1200000000</v>
      </c>
      <c r="P45" s="516">
        <v>0</v>
      </c>
      <c r="Q45" s="516">
        <v>0</v>
      </c>
      <c r="R45" s="516">
        <v>0</v>
      </c>
      <c r="S45" s="516">
        <v>-18581820</v>
      </c>
      <c r="T45" s="516">
        <v>0</v>
      </c>
      <c r="U45" s="517">
        <f>SUM(O45:T45)</f>
        <v>1181418180</v>
      </c>
      <c r="V45" s="515">
        <v>0</v>
      </c>
      <c r="W45" s="516">
        <v>0</v>
      </c>
      <c r="X45" s="516">
        <v>0</v>
      </c>
      <c r="Y45" s="516">
        <v>0</v>
      </c>
      <c r="Z45" s="516">
        <v>0</v>
      </c>
      <c r="AA45" s="516">
        <v>450558552</v>
      </c>
      <c r="AB45" s="521">
        <v>58232411</v>
      </c>
      <c r="AC45" s="516">
        <v>50574250</v>
      </c>
      <c r="AD45" s="516">
        <v>615479305</v>
      </c>
      <c r="AE45" s="516">
        <v>6569650</v>
      </c>
      <c r="AF45" s="516">
        <v>0</v>
      </c>
      <c r="AG45" s="516">
        <f>-15873736+738295</f>
        <v>-15135441</v>
      </c>
      <c r="AH45" s="517">
        <f>SUM(V45:AG45)</f>
        <v>1166278727</v>
      </c>
      <c r="AI45" s="515">
        <f>AV45</f>
        <v>0</v>
      </c>
      <c r="AJ45" s="516">
        <f>AW45</f>
        <v>0</v>
      </c>
      <c r="AK45" s="516">
        <f>AX45</f>
        <v>0</v>
      </c>
      <c r="AL45" s="516">
        <v>0</v>
      </c>
      <c r="AM45" s="516">
        <v>0</v>
      </c>
      <c r="AN45" s="516">
        <v>0</v>
      </c>
      <c r="AO45" s="515">
        <f aca="true" t="shared" si="65" ref="AO45:AT45">BB45</f>
        <v>57884735</v>
      </c>
      <c r="AP45" s="526">
        <f t="shared" si="65"/>
        <v>17975766</v>
      </c>
      <c r="AQ45" s="516">
        <f t="shared" si="65"/>
        <v>20709572</v>
      </c>
      <c r="AR45" s="516">
        <f t="shared" si="65"/>
        <v>26291620</v>
      </c>
      <c r="AS45" s="516">
        <f t="shared" si="65"/>
        <v>0</v>
      </c>
      <c r="AT45" s="516">
        <f t="shared" si="65"/>
        <v>210148432</v>
      </c>
      <c r="AU45" s="517">
        <f>SUM(AI45:AT45)</f>
        <v>333010125</v>
      </c>
      <c r="AV45" s="515">
        <v>0</v>
      </c>
      <c r="AW45" s="516">
        <v>0</v>
      </c>
      <c r="AX45" s="516">
        <v>0</v>
      </c>
      <c r="AY45" s="516">
        <v>0</v>
      </c>
      <c r="AZ45" s="516">
        <v>0</v>
      </c>
      <c r="BA45" s="516">
        <v>0</v>
      </c>
      <c r="BB45" s="521">
        <v>57884735</v>
      </c>
      <c r="BC45" s="516">
        <v>17975766</v>
      </c>
      <c r="BD45" s="516">
        <v>20709572</v>
      </c>
      <c r="BE45" s="516">
        <v>26291620</v>
      </c>
      <c r="BF45" s="516">
        <v>0</v>
      </c>
      <c r="BG45" s="516">
        <v>210148432</v>
      </c>
      <c r="BH45" s="517">
        <f>SUM(AV45:BG45)</f>
        <v>333010125</v>
      </c>
      <c r="BI45" s="538">
        <f>U45-AH45</f>
        <v>15139453</v>
      </c>
      <c r="BJ45" s="539">
        <f>AH45-AU45</f>
        <v>833268602</v>
      </c>
      <c r="BK45" s="520">
        <f>AU45-BH45</f>
        <v>0</v>
      </c>
    </row>
    <row r="46" spans="1:63" ht="30.75" customHeight="1">
      <c r="A46" s="439" t="s">
        <v>169</v>
      </c>
      <c r="B46" s="440" t="s">
        <v>130</v>
      </c>
      <c r="C46" s="440" t="s">
        <v>176</v>
      </c>
      <c r="D46" s="440" t="s">
        <v>128</v>
      </c>
      <c r="E46" s="440" t="s">
        <v>128</v>
      </c>
      <c r="F46" s="504" t="s">
        <v>128</v>
      </c>
      <c r="G46" s="534" t="s">
        <v>177</v>
      </c>
      <c r="H46" s="506">
        <f>H47</f>
        <v>202006340</v>
      </c>
      <c r="I46" s="507">
        <f aca="true" t="shared" si="66" ref="I46:BK46">I47</f>
        <v>0</v>
      </c>
      <c r="J46" s="507">
        <f t="shared" si="66"/>
        <v>0</v>
      </c>
      <c r="K46" s="507">
        <f t="shared" si="66"/>
        <v>0</v>
      </c>
      <c r="L46" s="507">
        <f t="shared" si="66"/>
        <v>0</v>
      </c>
      <c r="M46" s="507">
        <f t="shared" si="66"/>
        <v>0</v>
      </c>
      <c r="N46" s="508">
        <f t="shared" si="66"/>
        <v>202006340</v>
      </c>
      <c r="O46" s="506">
        <f t="shared" si="66"/>
        <v>202006340</v>
      </c>
      <c r="P46" s="507">
        <f t="shared" si="66"/>
        <v>0</v>
      </c>
      <c r="Q46" s="507">
        <f t="shared" si="66"/>
        <v>0</v>
      </c>
      <c r="R46" s="507">
        <f t="shared" si="66"/>
        <v>0</v>
      </c>
      <c r="S46" s="507">
        <f t="shared" si="66"/>
        <v>0</v>
      </c>
      <c r="T46" s="507">
        <f t="shared" si="66"/>
        <v>0</v>
      </c>
      <c r="U46" s="508">
        <f t="shared" si="66"/>
        <v>202006340</v>
      </c>
      <c r="V46" s="506">
        <f t="shared" si="66"/>
        <v>202006340</v>
      </c>
      <c r="W46" s="507">
        <f t="shared" si="66"/>
        <v>0</v>
      </c>
      <c r="X46" s="507">
        <f t="shared" si="66"/>
        <v>0</v>
      </c>
      <c r="Y46" s="507">
        <f t="shared" si="66"/>
        <v>0</v>
      </c>
      <c r="Z46" s="507">
        <f t="shared" si="66"/>
        <v>0</v>
      </c>
      <c r="AA46" s="507">
        <f t="shared" si="66"/>
        <v>0</v>
      </c>
      <c r="AB46" s="509">
        <f t="shared" si="66"/>
        <v>0</v>
      </c>
      <c r="AC46" s="507">
        <f t="shared" si="66"/>
        <v>0</v>
      </c>
      <c r="AD46" s="507">
        <f t="shared" si="66"/>
        <v>0</v>
      </c>
      <c r="AE46" s="507">
        <f t="shared" si="66"/>
        <v>0</v>
      </c>
      <c r="AF46" s="507">
        <f t="shared" si="66"/>
        <v>0</v>
      </c>
      <c r="AG46" s="507">
        <f t="shared" si="66"/>
        <v>-6340</v>
      </c>
      <c r="AH46" s="508">
        <f t="shared" si="66"/>
        <v>202000000</v>
      </c>
      <c r="AI46" s="506">
        <f t="shared" si="66"/>
        <v>0</v>
      </c>
      <c r="AJ46" s="507">
        <f t="shared" si="66"/>
        <v>0</v>
      </c>
      <c r="AK46" s="507">
        <f t="shared" si="66"/>
        <v>0</v>
      </c>
      <c r="AL46" s="507">
        <f t="shared" si="66"/>
        <v>0</v>
      </c>
      <c r="AM46" s="507">
        <f t="shared" si="66"/>
        <v>0</v>
      </c>
      <c r="AN46" s="507">
        <f t="shared" si="66"/>
        <v>0</v>
      </c>
      <c r="AO46" s="509">
        <f t="shared" si="66"/>
        <v>0</v>
      </c>
      <c r="AP46" s="507">
        <f t="shared" si="66"/>
        <v>0</v>
      </c>
      <c r="AQ46" s="507">
        <f t="shared" si="66"/>
        <v>0</v>
      </c>
      <c r="AR46" s="507">
        <f t="shared" si="66"/>
        <v>0</v>
      </c>
      <c r="AS46" s="507">
        <f t="shared" si="66"/>
        <v>0</v>
      </c>
      <c r="AT46" s="507">
        <f t="shared" si="66"/>
        <v>0</v>
      </c>
      <c r="AU46" s="508">
        <f t="shared" si="66"/>
        <v>0</v>
      </c>
      <c r="AV46" s="506">
        <f t="shared" si="66"/>
        <v>0</v>
      </c>
      <c r="AW46" s="507">
        <f t="shared" si="66"/>
        <v>0</v>
      </c>
      <c r="AX46" s="507">
        <f t="shared" si="66"/>
        <v>0</v>
      </c>
      <c r="AY46" s="507">
        <f t="shared" si="66"/>
        <v>0</v>
      </c>
      <c r="AZ46" s="507">
        <f t="shared" si="66"/>
        <v>0</v>
      </c>
      <c r="BA46" s="507">
        <f t="shared" si="66"/>
        <v>0</v>
      </c>
      <c r="BB46" s="509">
        <f t="shared" si="66"/>
        <v>0</v>
      </c>
      <c r="BC46" s="507">
        <f t="shared" si="66"/>
        <v>0</v>
      </c>
      <c r="BD46" s="507">
        <f t="shared" si="66"/>
        <v>0</v>
      </c>
      <c r="BE46" s="507">
        <f t="shared" si="66"/>
        <v>0</v>
      </c>
      <c r="BF46" s="507">
        <f t="shared" si="66"/>
        <v>0</v>
      </c>
      <c r="BG46" s="507">
        <f t="shared" si="66"/>
        <v>0</v>
      </c>
      <c r="BH46" s="508">
        <f t="shared" si="66"/>
        <v>0</v>
      </c>
      <c r="BI46" s="535">
        <f t="shared" si="66"/>
        <v>6340</v>
      </c>
      <c r="BJ46" s="536">
        <f t="shared" si="66"/>
        <v>202000000</v>
      </c>
      <c r="BK46" s="512">
        <f t="shared" si="66"/>
        <v>0</v>
      </c>
    </row>
    <row r="47" spans="1:63" ht="30.75" customHeight="1" thickBot="1">
      <c r="A47" s="442" t="s">
        <v>169</v>
      </c>
      <c r="B47" s="443" t="s">
        <v>130</v>
      </c>
      <c r="C47" s="443" t="s">
        <v>176</v>
      </c>
      <c r="D47" s="443" t="s">
        <v>178</v>
      </c>
      <c r="E47" s="443" t="s">
        <v>136</v>
      </c>
      <c r="F47" s="513" t="s">
        <v>134</v>
      </c>
      <c r="G47" s="537" t="s">
        <v>179</v>
      </c>
      <c r="H47" s="515">
        <f>U47-SUM(I47:M47)</f>
        <v>202006340</v>
      </c>
      <c r="I47" s="516">
        <v>0</v>
      </c>
      <c r="J47" s="516">
        <v>0</v>
      </c>
      <c r="K47" s="516">
        <v>0</v>
      </c>
      <c r="L47" s="516">
        <v>0</v>
      </c>
      <c r="M47" s="516">
        <v>0</v>
      </c>
      <c r="N47" s="517">
        <f>SUM(H47:M47)</f>
        <v>202006340</v>
      </c>
      <c r="O47" s="515">
        <v>202006340</v>
      </c>
      <c r="P47" s="516">
        <v>0</v>
      </c>
      <c r="Q47" s="516">
        <v>0</v>
      </c>
      <c r="R47" s="516">
        <v>0</v>
      </c>
      <c r="S47" s="516">
        <v>0</v>
      </c>
      <c r="T47" s="516">
        <v>0</v>
      </c>
      <c r="U47" s="517">
        <f>SUM(O47:T47)</f>
        <v>202006340</v>
      </c>
      <c r="V47" s="515">
        <v>202006340</v>
      </c>
      <c r="W47" s="516">
        <v>0</v>
      </c>
      <c r="X47" s="516">
        <v>0</v>
      </c>
      <c r="Y47" s="516">
        <v>0</v>
      </c>
      <c r="Z47" s="516">
        <v>0</v>
      </c>
      <c r="AA47" s="516">
        <v>0</v>
      </c>
      <c r="AB47" s="521">
        <v>0</v>
      </c>
      <c r="AC47" s="516">
        <v>0</v>
      </c>
      <c r="AD47" s="516">
        <v>0</v>
      </c>
      <c r="AE47" s="516">
        <v>0</v>
      </c>
      <c r="AF47" s="516">
        <v>0</v>
      </c>
      <c r="AG47" s="516">
        <v>-6340</v>
      </c>
      <c r="AH47" s="517">
        <f>SUM(V47:AG47)</f>
        <v>202000000</v>
      </c>
      <c r="AI47" s="515">
        <f aca="true" t="shared" si="67" ref="AI47:AN47">AV47</f>
        <v>0</v>
      </c>
      <c r="AJ47" s="516">
        <f t="shared" si="67"/>
        <v>0</v>
      </c>
      <c r="AK47" s="516">
        <f t="shared" si="67"/>
        <v>0</v>
      </c>
      <c r="AL47" s="516">
        <f t="shared" si="67"/>
        <v>0</v>
      </c>
      <c r="AM47" s="516">
        <f t="shared" si="67"/>
        <v>0</v>
      </c>
      <c r="AN47" s="516">
        <f t="shared" si="67"/>
        <v>0</v>
      </c>
      <c r="AO47" s="515">
        <f aca="true" t="shared" si="68" ref="AO47:AT47">BB47</f>
        <v>0</v>
      </c>
      <c r="AP47" s="526">
        <f t="shared" si="68"/>
        <v>0</v>
      </c>
      <c r="AQ47" s="516">
        <f t="shared" si="68"/>
        <v>0</v>
      </c>
      <c r="AR47" s="516">
        <f t="shared" si="68"/>
        <v>0</v>
      </c>
      <c r="AS47" s="516">
        <f t="shared" si="68"/>
        <v>0</v>
      </c>
      <c r="AT47" s="516">
        <f t="shared" si="68"/>
        <v>0</v>
      </c>
      <c r="AU47" s="517">
        <f>SUM(AI47:AT47)</f>
        <v>0</v>
      </c>
      <c r="AV47" s="515">
        <v>0</v>
      </c>
      <c r="AW47" s="516">
        <v>0</v>
      </c>
      <c r="AX47" s="516">
        <v>0</v>
      </c>
      <c r="AY47" s="516">
        <v>0</v>
      </c>
      <c r="AZ47" s="516">
        <v>0</v>
      </c>
      <c r="BA47" s="516">
        <v>0</v>
      </c>
      <c r="BB47" s="521">
        <v>0</v>
      </c>
      <c r="BC47" s="516">
        <v>0</v>
      </c>
      <c r="BD47" s="516">
        <v>0</v>
      </c>
      <c r="BE47" s="516">
        <v>0</v>
      </c>
      <c r="BF47" s="516">
        <v>0</v>
      </c>
      <c r="BG47" s="516">
        <v>0</v>
      </c>
      <c r="BH47" s="517">
        <f>SUM(AV47:BG47)</f>
        <v>0</v>
      </c>
      <c r="BI47" s="538">
        <f>U47-AH47</f>
        <v>6340</v>
      </c>
      <c r="BJ47" s="539">
        <f>AH47-AU47</f>
        <v>202000000</v>
      </c>
      <c r="BK47" s="520">
        <f>AU47-BH47</f>
        <v>0</v>
      </c>
    </row>
    <row r="48" spans="1:63" ht="30.75" customHeight="1">
      <c r="A48" s="439" t="s">
        <v>169</v>
      </c>
      <c r="B48" s="440" t="s">
        <v>130</v>
      </c>
      <c r="C48" s="440" t="s">
        <v>180</v>
      </c>
      <c r="D48" s="440" t="s">
        <v>128</v>
      </c>
      <c r="E48" s="440" t="s">
        <v>128</v>
      </c>
      <c r="F48" s="504" t="s">
        <v>128</v>
      </c>
      <c r="G48" s="534" t="s">
        <v>181</v>
      </c>
      <c r="H48" s="506">
        <f>SUM(H49:H53)</f>
        <v>115737108000</v>
      </c>
      <c r="I48" s="507">
        <f aca="true" t="shared" si="69" ref="I48:BK48">SUM(I49:I53)</f>
        <v>0</v>
      </c>
      <c r="J48" s="507">
        <f t="shared" si="69"/>
        <v>0</v>
      </c>
      <c r="K48" s="507">
        <f t="shared" si="69"/>
        <v>0</v>
      </c>
      <c r="L48" s="507">
        <f t="shared" si="69"/>
        <v>0</v>
      </c>
      <c r="M48" s="507">
        <f t="shared" si="69"/>
        <v>0</v>
      </c>
      <c r="N48" s="508">
        <f t="shared" si="69"/>
        <v>115737108000</v>
      </c>
      <c r="O48" s="506">
        <f t="shared" si="69"/>
        <v>115737108000</v>
      </c>
      <c r="P48" s="507">
        <f t="shared" si="69"/>
        <v>0</v>
      </c>
      <c r="Q48" s="507">
        <f t="shared" si="69"/>
        <v>0</v>
      </c>
      <c r="R48" s="507">
        <f t="shared" si="69"/>
        <v>0</v>
      </c>
      <c r="S48" s="507">
        <f t="shared" si="69"/>
        <v>0</v>
      </c>
      <c r="T48" s="507">
        <f t="shared" si="69"/>
        <v>0</v>
      </c>
      <c r="U48" s="508">
        <f t="shared" si="69"/>
        <v>115737108000</v>
      </c>
      <c r="V48" s="506">
        <f t="shared" si="69"/>
        <v>115737108000</v>
      </c>
      <c r="W48" s="507">
        <f t="shared" si="69"/>
        <v>0</v>
      </c>
      <c r="X48" s="507">
        <f t="shared" si="69"/>
        <v>0</v>
      </c>
      <c r="Y48" s="507">
        <f t="shared" si="69"/>
        <v>0</v>
      </c>
      <c r="Z48" s="507">
        <f t="shared" si="69"/>
        <v>0</v>
      </c>
      <c r="AA48" s="507">
        <f t="shared" si="69"/>
        <v>0</v>
      </c>
      <c r="AB48" s="509">
        <f t="shared" si="69"/>
        <v>0</v>
      </c>
      <c r="AC48" s="507">
        <f t="shared" si="69"/>
        <v>0</v>
      </c>
      <c r="AD48" s="507">
        <f t="shared" si="69"/>
        <v>0</v>
      </c>
      <c r="AE48" s="507">
        <f t="shared" si="69"/>
        <v>0</v>
      </c>
      <c r="AF48" s="507">
        <f t="shared" si="69"/>
        <v>0</v>
      </c>
      <c r="AG48" s="507">
        <f t="shared" si="69"/>
        <v>-525296605</v>
      </c>
      <c r="AH48" s="508">
        <f t="shared" si="69"/>
        <v>115211811395</v>
      </c>
      <c r="AI48" s="506">
        <f t="shared" si="69"/>
        <v>519160159</v>
      </c>
      <c r="AJ48" s="507">
        <f aca="true" t="shared" si="70" ref="AJ48:AT48">SUM(AJ49:AJ53)</f>
        <v>9451130327</v>
      </c>
      <c r="AK48" s="507">
        <f t="shared" si="70"/>
        <v>10646958684</v>
      </c>
      <c r="AL48" s="507">
        <f t="shared" si="70"/>
        <v>5118937552</v>
      </c>
      <c r="AM48" s="507">
        <f t="shared" si="70"/>
        <v>11912866388</v>
      </c>
      <c r="AN48" s="507">
        <f t="shared" si="70"/>
        <v>7290855552</v>
      </c>
      <c r="AO48" s="509">
        <f t="shared" si="70"/>
        <v>13559258909</v>
      </c>
      <c r="AP48" s="507">
        <f t="shared" si="70"/>
        <v>5242487980</v>
      </c>
      <c r="AQ48" s="507">
        <f t="shared" si="70"/>
        <v>13088866770</v>
      </c>
      <c r="AR48" s="507">
        <f t="shared" si="70"/>
        <v>8879119097</v>
      </c>
      <c r="AS48" s="507">
        <f t="shared" si="70"/>
        <v>5614616235</v>
      </c>
      <c r="AT48" s="507">
        <f t="shared" si="70"/>
        <v>9411966767</v>
      </c>
      <c r="AU48" s="508">
        <f t="shared" si="69"/>
        <v>100736224420</v>
      </c>
      <c r="AV48" s="506">
        <f t="shared" si="69"/>
        <v>519160159</v>
      </c>
      <c r="AW48" s="507">
        <f t="shared" si="69"/>
        <v>9451130327</v>
      </c>
      <c r="AX48" s="507">
        <f t="shared" si="69"/>
        <v>10646958684</v>
      </c>
      <c r="AY48" s="507">
        <f t="shared" si="69"/>
        <v>5118937552</v>
      </c>
      <c r="AZ48" s="507">
        <f t="shared" si="69"/>
        <v>11912866388</v>
      </c>
      <c r="BA48" s="507">
        <f t="shared" si="69"/>
        <v>7290855552</v>
      </c>
      <c r="BB48" s="509">
        <f t="shared" si="69"/>
        <v>13559258909</v>
      </c>
      <c r="BC48" s="507">
        <f t="shared" si="69"/>
        <v>5242487980</v>
      </c>
      <c r="BD48" s="507">
        <f t="shared" si="69"/>
        <v>13088866770</v>
      </c>
      <c r="BE48" s="507">
        <f t="shared" si="69"/>
        <v>8879119097</v>
      </c>
      <c r="BF48" s="507">
        <f t="shared" si="69"/>
        <v>5614616235</v>
      </c>
      <c r="BG48" s="507">
        <f t="shared" si="69"/>
        <v>9411966767</v>
      </c>
      <c r="BH48" s="508">
        <f t="shared" si="69"/>
        <v>100736224420</v>
      </c>
      <c r="BI48" s="535">
        <f t="shared" si="69"/>
        <v>525296605</v>
      </c>
      <c r="BJ48" s="536">
        <f t="shared" si="69"/>
        <v>14475586975</v>
      </c>
      <c r="BK48" s="512">
        <f t="shared" si="69"/>
        <v>0</v>
      </c>
    </row>
    <row r="49" spans="1:63" ht="30.75" customHeight="1">
      <c r="A49" s="442" t="s">
        <v>169</v>
      </c>
      <c r="B49" s="443" t="s">
        <v>130</v>
      </c>
      <c r="C49" s="443" t="s">
        <v>180</v>
      </c>
      <c r="D49" s="443" t="s">
        <v>174</v>
      </c>
      <c r="E49" s="443" t="s">
        <v>182</v>
      </c>
      <c r="F49" s="513" t="s">
        <v>134</v>
      </c>
      <c r="G49" s="537" t="s">
        <v>183</v>
      </c>
      <c r="H49" s="515">
        <f>U49-SUM(I49:M49)</f>
        <v>1360000000</v>
      </c>
      <c r="I49" s="516">
        <v>0</v>
      </c>
      <c r="J49" s="516">
        <v>0</v>
      </c>
      <c r="K49" s="516">
        <v>0</v>
      </c>
      <c r="L49" s="516">
        <v>0</v>
      </c>
      <c r="M49" s="516">
        <v>0</v>
      </c>
      <c r="N49" s="517">
        <f>SUM(H49:M49)</f>
        <v>1360000000</v>
      </c>
      <c r="O49" s="515">
        <v>1360000000</v>
      </c>
      <c r="P49" s="516">
        <v>0</v>
      </c>
      <c r="Q49" s="516">
        <v>0</v>
      </c>
      <c r="R49" s="516">
        <v>0</v>
      </c>
      <c r="S49" s="516">
        <v>0</v>
      </c>
      <c r="T49" s="516">
        <v>0</v>
      </c>
      <c r="U49" s="517">
        <f>SUM(O49:T49)</f>
        <v>1360000000</v>
      </c>
      <c r="V49" s="515">
        <v>1360000000</v>
      </c>
      <c r="W49" s="516">
        <v>0</v>
      </c>
      <c r="X49" s="516">
        <v>0</v>
      </c>
      <c r="Y49" s="516">
        <v>0</v>
      </c>
      <c r="Z49" s="516">
        <v>0</v>
      </c>
      <c r="AA49" s="516">
        <v>0</v>
      </c>
      <c r="AB49" s="521">
        <v>0</v>
      </c>
      <c r="AC49" s="516">
        <v>0</v>
      </c>
      <c r="AD49" s="516">
        <v>0</v>
      </c>
      <c r="AE49" s="516">
        <v>0</v>
      </c>
      <c r="AF49" s="516">
        <v>0</v>
      </c>
      <c r="AG49" s="516">
        <f>-344440068-537320</f>
        <v>-344977388</v>
      </c>
      <c r="AH49" s="517">
        <f>SUM(V49:AG49)</f>
        <v>1015022612</v>
      </c>
      <c r="AI49" s="515">
        <f aca="true" t="shared" si="71" ref="AI49:AR53">AV49</f>
        <v>0</v>
      </c>
      <c r="AJ49" s="515">
        <f t="shared" si="71"/>
        <v>0</v>
      </c>
      <c r="AK49" s="515">
        <f t="shared" si="71"/>
        <v>154689740</v>
      </c>
      <c r="AL49" s="515">
        <f t="shared" si="71"/>
        <v>140602480</v>
      </c>
      <c r="AM49" s="515">
        <f t="shared" si="71"/>
        <v>264641808</v>
      </c>
      <c r="AN49" s="515">
        <f t="shared" si="71"/>
        <v>65804460</v>
      </c>
      <c r="AO49" s="515">
        <f t="shared" si="71"/>
        <v>95338040</v>
      </c>
      <c r="AP49" s="515">
        <f t="shared" si="71"/>
        <v>178009504</v>
      </c>
      <c r="AQ49" s="515">
        <f t="shared" si="71"/>
        <v>79477271</v>
      </c>
      <c r="AR49" s="515">
        <f t="shared" si="71"/>
        <v>-4010</v>
      </c>
      <c r="AS49" s="515">
        <f aca="true" t="shared" si="72" ref="AS49:AT53">BF49</f>
        <v>0</v>
      </c>
      <c r="AT49" s="515">
        <f t="shared" si="72"/>
        <v>13512639</v>
      </c>
      <c r="AU49" s="517">
        <f>SUM(AI49:AT49)</f>
        <v>992071932</v>
      </c>
      <c r="AV49" s="515">
        <v>0</v>
      </c>
      <c r="AW49" s="515">
        <v>0</v>
      </c>
      <c r="AX49" s="515">
        <v>154689740</v>
      </c>
      <c r="AY49" s="515">
        <v>140602480</v>
      </c>
      <c r="AZ49" s="515">
        <v>264641808</v>
      </c>
      <c r="BA49" s="515">
        <v>65804460</v>
      </c>
      <c r="BB49" s="515">
        <v>95338040</v>
      </c>
      <c r="BC49" s="515">
        <v>178009504</v>
      </c>
      <c r="BD49" s="515">
        <v>79477271</v>
      </c>
      <c r="BE49" s="515">
        <v>-4010</v>
      </c>
      <c r="BF49" s="515">
        <v>0</v>
      </c>
      <c r="BG49" s="515">
        <v>13512639</v>
      </c>
      <c r="BH49" s="517">
        <f>SUM(AV49:BG49)</f>
        <v>992071932</v>
      </c>
      <c r="BI49" s="538">
        <f>U49-AH49</f>
        <v>344977388</v>
      </c>
      <c r="BJ49" s="539">
        <f>AH49-AU49</f>
        <v>22950680</v>
      </c>
      <c r="BK49" s="520">
        <f>AU49-BH49</f>
        <v>0</v>
      </c>
    </row>
    <row r="50" spans="1:63" ht="30.75" customHeight="1">
      <c r="A50" s="442" t="s">
        <v>169</v>
      </c>
      <c r="B50" s="443" t="s">
        <v>130</v>
      </c>
      <c r="C50" s="443" t="s">
        <v>180</v>
      </c>
      <c r="D50" s="443" t="s">
        <v>184</v>
      </c>
      <c r="E50" s="443" t="s">
        <v>136</v>
      </c>
      <c r="F50" s="513" t="s">
        <v>134</v>
      </c>
      <c r="G50" s="537" t="s">
        <v>188</v>
      </c>
      <c r="H50" s="515">
        <f>U50-SUM(I50:M50)</f>
        <v>960000000</v>
      </c>
      <c r="I50" s="516">
        <v>0</v>
      </c>
      <c r="J50" s="516">
        <v>0</v>
      </c>
      <c r="K50" s="516">
        <v>0</v>
      </c>
      <c r="L50" s="516">
        <v>0</v>
      </c>
      <c r="M50" s="516">
        <v>0</v>
      </c>
      <c r="N50" s="517">
        <f>SUM(H50:M50)</f>
        <v>960000000</v>
      </c>
      <c r="O50" s="515">
        <v>960000000</v>
      </c>
      <c r="P50" s="516">
        <v>0</v>
      </c>
      <c r="Q50" s="516">
        <v>0</v>
      </c>
      <c r="R50" s="516">
        <v>0</v>
      </c>
      <c r="S50" s="516">
        <v>0</v>
      </c>
      <c r="T50" s="516">
        <v>0</v>
      </c>
      <c r="U50" s="517">
        <f>SUM(O50:T50)</f>
        <v>960000000</v>
      </c>
      <c r="V50" s="515">
        <v>960000000</v>
      </c>
      <c r="W50" s="516">
        <v>0</v>
      </c>
      <c r="X50" s="516">
        <v>0</v>
      </c>
      <c r="Y50" s="516">
        <v>0</v>
      </c>
      <c r="Z50" s="516">
        <v>0</v>
      </c>
      <c r="AA50" s="516">
        <v>0</v>
      </c>
      <c r="AB50" s="521">
        <v>0</v>
      </c>
      <c r="AC50" s="516">
        <v>0</v>
      </c>
      <c r="AD50" s="516">
        <v>0</v>
      </c>
      <c r="AE50" s="516">
        <v>0</v>
      </c>
      <c r="AF50" s="516">
        <v>0</v>
      </c>
      <c r="AG50" s="516">
        <f>-180319217</f>
        <v>-180319217</v>
      </c>
      <c r="AH50" s="517">
        <f>SUM(V50:AG50)</f>
        <v>779680783</v>
      </c>
      <c r="AI50" s="515">
        <f t="shared" si="71"/>
        <v>0</v>
      </c>
      <c r="AJ50" s="515">
        <f t="shared" si="71"/>
        <v>121437577</v>
      </c>
      <c r="AK50" s="515">
        <f t="shared" si="71"/>
        <v>28569181</v>
      </c>
      <c r="AL50" s="515">
        <f t="shared" si="71"/>
        <v>21726558</v>
      </c>
      <c r="AM50" s="515">
        <f t="shared" si="71"/>
        <v>39662468</v>
      </c>
      <c r="AN50" s="515">
        <f t="shared" si="71"/>
        <v>24752404</v>
      </c>
      <c r="AO50" s="515">
        <f t="shared" si="71"/>
        <v>191440645</v>
      </c>
      <c r="AP50" s="515">
        <f t="shared" si="71"/>
        <v>26417059</v>
      </c>
      <c r="AQ50" s="515">
        <f t="shared" si="71"/>
        <v>37009154</v>
      </c>
      <c r="AR50" s="515">
        <f t="shared" si="71"/>
        <v>30883627</v>
      </c>
      <c r="AS50" s="515">
        <f t="shared" si="72"/>
        <v>91877395</v>
      </c>
      <c r="AT50" s="515">
        <f t="shared" si="72"/>
        <v>127211459</v>
      </c>
      <c r="AU50" s="517">
        <f>SUM(AI50:AT50)</f>
        <v>740987527</v>
      </c>
      <c r="AV50" s="515">
        <v>0</v>
      </c>
      <c r="AW50" s="515">
        <v>121437577</v>
      </c>
      <c r="AX50" s="515">
        <v>28569181</v>
      </c>
      <c r="AY50" s="515">
        <v>21726558</v>
      </c>
      <c r="AZ50" s="515">
        <v>39662468</v>
      </c>
      <c r="BA50" s="515">
        <v>24752404</v>
      </c>
      <c r="BB50" s="515">
        <v>191440645</v>
      </c>
      <c r="BC50" s="515">
        <v>26417059</v>
      </c>
      <c r="BD50" s="515">
        <v>37009154</v>
      </c>
      <c r="BE50" s="515">
        <v>30883627</v>
      </c>
      <c r="BF50" s="515">
        <v>91877395</v>
      </c>
      <c r="BG50" s="515">
        <v>127211459</v>
      </c>
      <c r="BH50" s="517">
        <f>SUM(AV50:BG50)</f>
        <v>740987527</v>
      </c>
      <c r="BI50" s="538">
        <f>U50-AH50</f>
        <v>180319217</v>
      </c>
      <c r="BJ50" s="539">
        <f>AH50-AU50</f>
        <v>38693256</v>
      </c>
      <c r="BK50" s="520">
        <f>AU50-BH50</f>
        <v>0</v>
      </c>
    </row>
    <row r="51" spans="1:63" ht="28.5">
      <c r="A51" s="442" t="s">
        <v>169</v>
      </c>
      <c r="B51" s="443" t="s">
        <v>130</v>
      </c>
      <c r="C51" s="443" t="s">
        <v>180</v>
      </c>
      <c r="D51" s="443" t="s">
        <v>184</v>
      </c>
      <c r="E51" s="443" t="s">
        <v>185</v>
      </c>
      <c r="F51" s="513" t="s">
        <v>134</v>
      </c>
      <c r="G51" s="537" t="s">
        <v>186</v>
      </c>
      <c r="H51" s="515">
        <f>U51-SUM(I51:M51)</f>
        <v>69135508000</v>
      </c>
      <c r="I51" s="516">
        <v>0</v>
      </c>
      <c r="J51" s="516">
        <v>0</v>
      </c>
      <c r="K51" s="516">
        <v>0</v>
      </c>
      <c r="L51" s="516">
        <v>0</v>
      </c>
      <c r="M51" s="516">
        <v>0</v>
      </c>
      <c r="N51" s="517">
        <f>SUM(H51:M51)</f>
        <v>69135508000</v>
      </c>
      <c r="O51" s="515">
        <v>69135508000</v>
      </c>
      <c r="P51" s="516">
        <v>0</v>
      </c>
      <c r="Q51" s="516">
        <v>0</v>
      </c>
      <c r="R51" s="516">
        <v>0</v>
      </c>
      <c r="S51" s="516">
        <v>0</v>
      </c>
      <c r="T51" s="516">
        <v>0</v>
      </c>
      <c r="U51" s="517">
        <f>SUM(O51:T51)</f>
        <v>69135508000</v>
      </c>
      <c r="V51" s="515">
        <v>69135508000</v>
      </c>
      <c r="W51" s="516">
        <v>0</v>
      </c>
      <c r="X51" s="516">
        <v>0</v>
      </c>
      <c r="Y51" s="516">
        <v>0</v>
      </c>
      <c r="Z51" s="516">
        <v>0</v>
      </c>
      <c r="AA51" s="516">
        <v>0</v>
      </c>
      <c r="AB51" s="521">
        <v>0</v>
      </c>
      <c r="AC51" s="516">
        <v>0</v>
      </c>
      <c r="AD51" s="516">
        <v>0</v>
      </c>
      <c r="AE51" s="516">
        <v>0</v>
      </c>
      <c r="AF51" s="516">
        <v>0</v>
      </c>
      <c r="AG51" s="516">
        <v>0</v>
      </c>
      <c r="AH51" s="517">
        <f>SUM(V51:AG51)</f>
        <v>69135508000</v>
      </c>
      <c r="AI51" s="515">
        <f t="shared" si="71"/>
        <v>519160159</v>
      </c>
      <c r="AJ51" s="515">
        <f t="shared" si="71"/>
        <v>9173606220</v>
      </c>
      <c r="AK51" s="515">
        <f t="shared" si="71"/>
        <v>7046467442</v>
      </c>
      <c r="AL51" s="515">
        <f t="shared" si="71"/>
        <v>4057389786</v>
      </c>
      <c r="AM51" s="515">
        <f t="shared" si="71"/>
        <v>10106421325</v>
      </c>
      <c r="AN51" s="515">
        <f t="shared" si="71"/>
        <v>1790279909</v>
      </c>
      <c r="AO51" s="515">
        <f t="shared" si="71"/>
        <v>5252044491</v>
      </c>
      <c r="AP51" s="515">
        <f t="shared" si="71"/>
        <v>1801165574</v>
      </c>
      <c r="AQ51" s="515">
        <f t="shared" si="71"/>
        <v>11088091203</v>
      </c>
      <c r="AR51" s="515">
        <f t="shared" si="71"/>
        <v>10202621416</v>
      </c>
      <c r="AS51" s="515">
        <f t="shared" si="72"/>
        <v>4051147275</v>
      </c>
      <c r="AT51" s="515">
        <f t="shared" si="72"/>
        <v>4047113200</v>
      </c>
      <c r="AU51" s="517">
        <f>SUM(AI51:AT51)</f>
        <v>69135508000</v>
      </c>
      <c r="AV51" s="515">
        <v>519160159</v>
      </c>
      <c r="AW51" s="515">
        <f>9692766379-AV51</f>
        <v>9173606220</v>
      </c>
      <c r="AX51" s="515">
        <f>7028492442+17975000</f>
        <v>7046467442</v>
      </c>
      <c r="AY51" s="515">
        <v>4057389786</v>
      </c>
      <c r="AZ51" s="515">
        <f>10106402093+19232</f>
        <v>10106421325</v>
      </c>
      <c r="BA51" s="515">
        <v>1790279909</v>
      </c>
      <c r="BB51" s="515">
        <v>5252044491</v>
      </c>
      <c r="BC51" s="515">
        <v>1801165574</v>
      </c>
      <c r="BD51" s="515">
        <v>11088091203</v>
      </c>
      <c r="BE51" s="515">
        <v>10202621416</v>
      </c>
      <c r="BF51" s="515">
        <v>4051147275</v>
      </c>
      <c r="BG51" s="515">
        <v>4047113200</v>
      </c>
      <c r="BH51" s="517">
        <f>SUM(AV51:BG51)</f>
        <v>69135508000</v>
      </c>
      <c r="BI51" s="538">
        <f>U51-AH51</f>
        <v>0</v>
      </c>
      <c r="BJ51" s="539">
        <f>AH51-AU51</f>
        <v>0</v>
      </c>
      <c r="BK51" s="520">
        <f>AU51-BH51</f>
        <v>0</v>
      </c>
    </row>
    <row r="52" spans="1:63" ht="28.5">
      <c r="A52" s="442" t="s">
        <v>169</v>
      </c>
      <c r="B52" s="443" t="s">
        <v>130</v>
      </c>
      <c r="C52" s="443" t="s">
        <v>180</v>
      </c>
      <c r="D52" s="443" t="s">
        <v>184</v>
      </c>
      <c r="E52" s="443" t="s">
        <v>185</v>
      </c>
      <c r="F52" s="513" t="s">
        <v>187</v>
      </c>
      <c r="G52" s="537" t="s">
        <v>186</v>
      </c>
      <c r="H52" s="515">
        <f>U52-SUM(I52:M52)</f>
        <v>34281600000</v>
      </c>
      <c r="I52" s="516">
        <v>0</v>
      </c>
      <c r="J52" s="516">
        <v>0</v>
      </c>
      <c r="K52" s="516">
        <v>0</v>
      </c>
      <c r="L52" s="516">
        <v>0</v>
      </c>
      <c r="M52" s="516">
        <v>0</v>
      </c>
      <c r="N52" s="517">
        <f>SUM(H52:M52)</f>
        <v>34281600000</v>
      </c>
      <c r="O52" s="515">
        <v>34281600000</v>
      </c>
      <c r="P52" s="516">
        <v>0</v>
      </c>
      <c r="Q52" s="516">
        <v>0</v>
      </c>
      <c r="R52" s="516">
        <v>0</v>
      </c>
      <c r="S52" s="516">
        <v>0</v>
      </c>
      <c r="T52" s="516">
        <v>0</v>
      </c>
      <c r="U52" s="517">
        <f>SUM(O52:T52)</f>
        <v>34281600000</v>
      </c>
      <c r="V52" s="515">
        <v>34281600000</v>
      </c>
      <c r="W52" s="516"/>
      <c r="X52" s="516">
        <v>0</v>
      </c>
      <c r="Y52" s="516">
        <v>0</v>
      </c>
      <c r="Z52" s="516">
        <v>0</v>
      </c>
      <c r="AA52" s="516"/>
      <c r="AB52" s="521">
        <v>0</v>
      </c>
      <c r="AC52" s="516">
        <v>0</v>
      </c>
      <c r="AD52" s="516">
        <v>0</v>
      </c>
      <c r="AE52" s="516">
        <v>0</v>
      </c>
      <c r="AF52" s="516">
        <v>0</v>
      </c>
      <c r="AG52" s="516">
        <v>0</v>
      </c>
      <c r="AH52" s="517">
        <f>SUM(V52:AG52)</f>
        <v>34281600000</v>
      </c>
      <c r="AI52" s="515">
        <f t="shared" si="71"/>
        <v>0</v>
      </c>
      <c r="AJ52" s="515">
        <f t="shared" si="71"/>
        <v>156086530</v>
      </c>
      <c r="AK52" s="515">
        <f t="shared" si="71"/>
        <v>3417232321</v>
      </c>
      <c r="AL52" s="515">
        <f t="shared" si="71"/>
        <v>899218728</v>
      </c>
      <c r="AM52" s="515">
        <f t="shared" si="71"/>
        <v>1502140787</v>
      </c>
      <c r="AN52" s="515">
        <f t="shared" si="71"/>
        <v>5410018779</v>
      </c>
      <c r="AO52" s="515">
        <f t="shared" si="71"/>
        <v>1046000091</v>
      </c>
      <c r="AP52" s="515">
        <f t="shared" si="71"/>
        <v>993806658</v>
      </c>
      <c r="AQ52" s="515">
        <f t="shared" si="71"/>
        <v>1884289142</v>
      </c>
      <c r="AR52" s="515">
        <f t="shared" si="71"/>
        <v>-1359525908</v>
      </c>
      <c r="AS52" s="515">
        <f t="shared" si="72"/>
        <v>1394260364</v>
      </c>
      <c r="AT52" s="515">
        <f t="shared" si="72"/>
        <v>4939338944</v>
      </c>
      <c r="AU52" s="517">
        <f>SUM(AI52:AT52)</f>
        <v>20282866436</v>
      </c>
      <c r="AV52" s="515">
        <v>0</v>
      </c>
      <c r="AW52" s="515">
        <v>156086530</v>
      </c>
      <c r="AX52" s="515">
        <f>1210461280+288926651+1917844390</f>
        <v>3417232321</v>
      </c>
      <c r="AY52" s="515">
        <f>890665291+8553437</f>
        <v>899218728</v>
      </c>
      <c r="AZ52" s="515">
        <v>1502140787</v>
      </c>
      <c r="BA52" s="515">
        <f>5371689736+38329043</f>
        <v>5410018779</v>
      </c>
      <c r="BB52" s="515">
        <f>510639585+535360506</f>
        <v>1046000091</v>
      </c>
      <c r="BC52" s="515">
        <f>207467941+744088717+42250000</f>
        <v>993806658</v>
      </c>
      <c r="BD52" s="515">
        <f>20693785+1382365285+481230072</f>
        <v>1884289142</v>
      </c>
      <c r="BE52" s="515">
        <v>-1359525908</v>
      </c>
      <c r="BF52" s="515">
        <f>58144926+893445833+442669605</f>
        <v>1394260364</v>
      </c>
      <c r="BG52" s="515">
        <v>4939338944</v>
      </c>
      <c r="BH52" s="517">
        <f>SUM(AV52:BG52)</f>
        <v>20282866436</v>
      </c>
      <c r="BI52" s="538">
        <f>U52-AH52</f>
        <v>0</v>
      </c>
      <c r="BJ52" s="539">
        <f>AH52-AU52</f>
        <v>13998733564</v>
      </c>
      <c r="BK52" s="520">
        <f>AU52-BH52</f>
        <v>0</v>
      </c>
    </row>
    <row r="53" spans="1:63" ht="43.5" thickBot="1">
      <c r="A53" s="445" t="s">
        <v>169</v>
      </c>
      <c r="B53" s="446" t="s">
        <v>130</v>
      </c>
      <c r="C53" s="446" t="s">
        <v>180</v>
      </c>
      <c r="D53" s="446" t="s">
        <v>184</v>
      </c>
      <c r="E53" s="446" t="s">
        <v>256</v>
      </c>
      <c r="F53" s="523" t="s">
        <v>134</v>
      </c>
      <c r="G53" s="540" t="s">
        <v>273</v>
      </c>
      <c r="H53" s="525">
        <f>U53-SUM(I53:M53)</f>
        <v>10000000000</v>
      </c>
      <c r="I53" s="526">
        <v>0</v>
      </c>
      <c r="J53" s="526">
        <v>0</v>
      </c>
      <c r="K53" s="526">
        <v>0</v>
      </c>
      <c r="L53" s="526">
        <v>0</v>
      </c>
      <c r="M53" s="526">
        <v>0</v>
      </c>
      <c r="N53" s="527">
        <f>SUM(H53:M53)</f>
        <v>10000000000</v>
      </c>
      <c r="O53" s="525">
        <v>10000000000</v>
      </c>
      <c r="P53" s="526">
        <v>0</v>
      </c>
      <c r="Q53" s="526">
        <v>0</v>
      </c>
      <c r="R53" s="526">
        <v>0</v>
      </c>
      <c r="S53" s="526">
        <v>0</v>
      </c>
      <c r="T53" s="526">
        <v>0</v>
      </c>
      <c r="U53" s="527">
        <f>SUM(O53:T53)</f>
        <v>10000000000</v>
      </c>
      <c r="V53" s="525">
        <v>10000000000</v>
      </c>
      <c r="W53" s="526">
        <v>0</v>
      </c>
      <c r="X53" s="526">
        <v>0</v>
      </c>
      <c r="Y53" s="526">
        <v>0</v>
      </c>
      <c r="Z53" s="526">
        <v>0</v>
      </c>
      <c r="AA53" s="526"/>
      <c r="AB53" s="528">
        <v>0</v>
      </c>
      <c r="AC53" s="526">
        <v>0</v>
      </c>
      <c r="AD53" s="526">
        <v>0</v>
      </c>
      <c r="AE53" s="526">
        <v>0</v>
      </c>
      <c r="AF53" s="526">
        <v>0</v>
      </c>
      <c r="AG53" s="526">
        <v>0</v>
      </c>
      <c r="AH53" s="527">
        <f>SUM(V53:AG53)</f>
        <v>10000000000</v>
      </c>
      <c r="AI53" s="525">
        <f t="shared" si="71"/>
        <v>0</v>
      </c>
      <c r="AJ53" s="525">
        <f t="shared" si="71"/>
        <v>0</v>
      </c>
      <c r="AK53" s="525">
        <f t="shared" si="71"/>
        <v>0</v>
      </c>
      <c r="AL53" s="525">
        <f t="shared" si="71"/>
        <v>0</v>
      </c>
      <c r="AM53" s="525">
        <f t="shared" si="71"/>
        <v>0</v>
      </c>
      <c r="AN53" s="525">
        <f t="shared" si="71"/>
        <v>0</v>
      </c>
      <c r="AO53" s="525">
        <f t="shared" si="71"/>
        <v>6974435642</v>
      </c>
      <c r="AP53" s="525">
        <f t="shared" si="71"/>
        <v>2243089185</v>
      </c>
      <c r="AQ53" s="525">
        <f t="shared" si="71"/>
        <v>0</v>
      </c>
      <c r="AR53" s="525">
        <f t="shared" si="71"/>
        <v>5143972</v>
      </c>
      <c r="AS53" s="525">
        <f t="shared" si="72"/>
        <v>77331201</v>
      </c>
      <c r="AT53" s="525">
        <f t="shared" si="72"/>
        <v>284790525</v>
      </c>
      <c r="AU53" s="527">
        <f>SUM(AI53:AT53)</f>
        <v>9584790525</v>
      </c>
      <c r="AV53" s="525">
        <v>0</v>
      </c>
      <c r="AW53" s="525">
        <v>0</v>
      </c>
      <c r="AX53" s="525">
        <v>0</v>
      </c>
      <c r="AY53" s="525">
        <v>0</v>
      </c>
      <c r="AZ53" s="525">
        <v>0</v>
      </c>
      <c r="BA53" s="525"/>
      <c r="BB53" s="525">
        <v>6974435642</v>
      </c>
      <c r="BC53" s="525">
        <v>2243089185</v>
      </c>
      <c r="BD53" s="525">
        <v>0</v>
      </c>
      <c r="BE53" s="525">
        <v>5143972</v>
      </c>
      <c r="BF53" s="525">
        <v>77331201</v>
      </c>
      <c r="BG53" s="525">
        <f>284790528-3</f>
        <v>284790525</v>
      </c>
      <c r="BH53" s="527">
        <f>SUM(AV53:BG53)</f>
        <v>9584790525</v>
      </c>
      <c r="BI53" s="541">
        <f>U53-AH53</f>
        <v>0</v>
      </c>
      <c r="BJ53" s="542">
        <f>AH53-AU53</f>
        <v>415209475</v>
      </c>
      <c r="BK53" s="531">
        <f>AU53-BH53</f>
        <v>0</v>
      </c>
    </row>
    <row r="54" spans="1:63" ht="15.75" thickBot="1">
      <c r="A54" s="448"/>
      <c r="B54" s="448"/>
      <c r="C54" s="448"/>
      <c r="D54" s="448"/>
      <c r="E54" s="448"/>
      <c r="F54" s="543"/>
      <c r="G54" s="544"/>
      <c r="H54" s="545"/>
      <c r="I54" s="545"/>
      <c r="J54" s="545"/>
      <c r="K54" s="545"/>
      <c r="L54" s="545"/>
      <c r="M54" s="545"/>
      <c r="N54" s="545"/>
      <c r="O54" s="545"/>
      <c r="P54" s="545"/>
      <c r="Q54" s="545"/>
      <c r="R54" s="545"/>
      <c r="S54" s="545"/>
      <c r="T54" s="545"/>
      <c r="U54" s="545"/>
      <c r="V54" s="545"/>
      <c r="W54" s="545"/>
      <c r="X54" s="545"/>
      <c r="Y54" s="545"/>
      <c r="Z54" s="545"/>
      <c r="AA54" s="545"/>
      <c r="AB54" s="546"/>
      <c r="AC54" s="545"/>
      <c r="AD54" s="545"/>
      <c r="AE54" s="545"/>
      <c r="AF54" s="545"/>
      <c r="AG54" s="545"/>
      <c r="AH54" s="547"/>
      <c r="AI54" s="545"/>
      <c r="AJ54" s="545"/>
      <c r="AK54" s="545"/>
      <c r="AL54" s="545"/>
      <c r="AM54" s="545"/>
      <c r="AN54" s="545"/>
      <c r="AO54" s="546"/>
      <c r="AP54" s="545"/>
      <c r="AQ54" s="545"/>
      <c r="AR54" s="545"/>
      <c r="AS54" s="545"/>
      <c r="AT54" s="545"/>
      <c r="AU54" s="547"/>
      <c r="AV54" s="545"/>
      <c r="AW54" s="545"/>
      <c r="AX54" s="545"/>
      <c r="AY54" s="545"/>
      <c r="AZ54" s="545"/>
      <c r="BA54" s="545"/>
      <c r="BB54" s="546"/>
      <c r="BC54" s="545"/>
      <c r="BD54" s="545"/>
      <c r="BE54" s="545"/>
      <c r="BF54" s="545"/>
      <c r="BG54" s="545"/>
      <c r="BH54" s="547"/>
      <c r="BI54" s="545"/>
      <c r="BJ54" s="545"/>
      <c r="BK54" s="545"/>
    </row>
    <row r="55" spans="1:63" ht="15.75" thickBot="1">
      <c r="A55" s="435" t="s">
        <v>189</v>
      </c>
      <c r="B55" s="436"/>
      <c r="C55" s="436"/>
      <c r="D55" s="436"/>
      <c r="E55" s="436"/>
      <c r="F55" s="492"/>
      <c r="G55" s="493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5"/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  <c r="AM55" s="494"/>
      <c r="AN55" s="494"/>
      <c r="AO55" s="495"/>
      <c r="AP55" s="494"/>
      <c r="AQ55" s="494"/>
      <c r="AR55" s="494"/>
      <c r="AS55" s="494"/>
      <c r="AT55" s="494"/>
      <c r="AU55" s="494"/>
      <c r="AV55" s="494"/>
      <c r="AW55" s="494"/>
      <c r="AX55" s="494"/>
      <c r="AY55" s="494"/>
      <c r="AZ55" s="494"/>
      <c r="BA55" s="494"/>
      <c r="BB55" s="495"/>
      <c r="BC55" s="494"/>
      <c r="BD55" s="494"/>
      <c r="BE55" s="494"/>
      <c r="BF55" s="494"/>
      <c r="BG55" s="494"/>
      <c r="BH55" s="494"/>
      <c r="BI55" s="494"/>
      <c r="BJ55" s="494"/>
      <c r="BK55" s="496"/>
    </row>
    <row r="56" spans="1:63" ht="15.75" thickBot="1">
      <c r="A56" s="448"/>
      <c r="B56" s="448"/>
      <c r="C56" s="448"/>
      <c r="D56" s="448"/>
      <c r="E56" s="448"/>
      <c r="F56" s="543"/>
      <c r="G56" s="544"/>
      <c r="H56" s="545"/>
      <c r="I56" s="545"/>
      <c r="J56" s="545"/>
      <c r="K56" s="545"/>
      <c r="L56" s="545"/>
      <c r="M56" s="545"/>
      <c r="N56" s="545"/>
      <c r="O56" s="545"/>
      <c r="P56" s="545"/>
      <c r="Q56" s="545"/>
      <c r="R56" s="545"/>
      <c r="S56" s="545"/>
      <c r="T56" s="545"/>
      <c r="U56" s="545"/>
      <c r="V56" s="545"/>
      <c r="W56" s="545"/>
      <c r="X56" s="545"/>
      <c r="Y56" s="545"/>
      <c r="Z56" s="545"/>
      <c r="AA56" s="545"/>
      <c r="AB56" s="546"/>
      <c r="AC56" s="545"/>
      <c r="AD56" s="545"/>
      <c r="AE56" s="545"/>
      <c r="AF56" s="545"/>
      <c r="AG56" s="545"/>
      <c r="AH56" s="547"/>
      <c r="AI56" s="545"/>
      <c r="AJ56" s="545"/>
      <c r="AK56" s="545"/>
      <c r="AL56" s="545"/>
      <c r="AM56" s="545"/>
      <c r="AN56" s="545"/>
      <c r="AO56" s="546"/>
      <c r="AP56" s="545"/>
      <c r="AQ56" s="545"/>
      <c r="AR56" s="545"/>
      <c r="AS56" s="545"/>
      <c r="AT56" s="545"/>
      <c r="AU56" s="547"/>
      <c r="AV56" s="545"/>
      <c r="AW56" s="545"/>
      <c r="AX56" s="545"/>
      <c r="AY56" s="545"/>
      <c r="AZ56" s="545"/>
      <c r="BA56" s="545"/>
      <c r="BB56" s="546"/>
      <c r="BC56" s="545"/>
      <c r="BD56" s="545"/>
      <c r="BE56" s="545"/>
      <c r="BF56" s="545"/>
      <c r="BG56" s="545"/>
      <c r="BH56" s="547"/>
      <c r="BI56" s="545"/>
      <c r="BJ56" s="545"/>
      <c r="BK56" s="545"/>
    </row>
    <row r="57" spans="1:63" ht="30.75" customHeight="1" thickBot="1">
      <c r="A57" s="437" t="s">
        <v>169</v>
      </c>
      <c r="B57" s="438" t="s">
        <v>128</v>
      </c>
      <c r="C57" s="438" t="s">
        <v>128</v>
      </c>
      <c r="D57" s="438" t="s">
        <v>128</v>
      </c>
      <c r="E57" s="438" t="s">
        <v>128</v>
      </c>
      <c r="F57" s="497" t="s">
        <v>128</v>
      </c>
      <c r="G57" s="532" t="s">
        <v>190</v>
      </c>
      <c r="H57" s="499">
        <f aca="true" t="shared" si="73" ref="H57:AT57">H58</f>
        <v>32419000000</v>
      </c>
      <c r="I57" s="500">
        <f t="shared" si="73"/>
        <v>-300000000</v>
      </c>
      <c r="J57" s="500">
        <f t="shared" si="73"/>
        <v>300000000</v>
      </c>
      <c r="K57" s="500">
        <f t="shared" si="73"/>
        <v>0</v>
      </c>
      <c r="L57" s="500">
        <f t="shared" si="73"/>
        <v>-1800000000</v>
      </c>
      <c r="M57" s="500">
        <f t="shared" si="73"/>
        <v>2500000000</v>
      </c>
      <c r="N57" s="501">
        <f t="shared" si="73"/>
        <v>33119000000</v>
      </c>
      <c r="O57" s="499">
        <f t="shared" si="73"/>
        <v>32419000000</v>
      </c>
      <c r="P57" s="500">
        <f t="shared" si="73"/>
        <v>-300000000</v>
      </c>
      <c r="Q57" s="500">
        <f t="shared" si="73"/>
        <v>300000000</v>
      </c>
      <c r="R57" s="500">
        <f t="shared" si="73"/>
        <v>0</v>
      </c>
      <c r="S57" s="500">
        <f t="shared" si="73"/>
        <v>-1800000000</v>
      </c>
      <c r="T57" s="500">
        <f t="shared" si="73"/>
        <v>2500000000</v>
      </c>
      <c r="U57" s="501">
        <f t="shared" si="73"/>
        <v>33119000000</v>
      </c>
      <c r="V57" s="500">
        <f t="shared" si="73"/>
        <v>11819000000</v>
      </c>
      <c r="W57" s="500">
        <f t="shared" si="73"/>
        <v>0</v>
      </c>
      <c r="X57" s="500">
        <f t="shared" si="73"/>
        <v>0</v>
      </c>
      <c r="Y57" s="500">
        <f t="shared" si="73"/>
        <v>0</v>
      </c>
      <c r="Z57" s="500">
        <f t="shared" si="73"/>
        <v>0</v>
      </c>
      <c r="AA57" s="500">
        <f t="shared" si="73"/>
        <v>0</v>
      </c>
      <c r="AB57" s="502">
        <f t="shared" si="73"/>
        <v>0</v>
      </c>
      <c r="AC57" s="500">
        <f t="shared" si="73"/>
        <v>20000000000</v>
      </c>
      <c r="AD57" s="500">
        <f t="shared" si="73"/>
        <v>0</v>
      </c>
      <c r="AE57" s="500">
        <f t="shared" si="73"/>
        <v>0</v>
      </c>
      <c r="AF57" s="500">
        <f t="shared" si="73"/>
        <v>0</v>
      </c>
      <c r="AG57" s="500">
        <f t="shared" si="73"/>
        <v>1300000000</v>
      </c>
      <c r="AH57" s="500">
        <f t="shared" si="73"/>
        <v>33119000000</v>
      </c>
      <c r="AI57" s="500">
        <f t="shared" si="73"/>
        <v>0</v>
      </c>
      <c r="AJ57" s="500">
        <f t="shared" si="73"/>
        <v>280417668</v>
      </c>
      <c r="AK57" s="500">
        <f t="shared" si="73"/>
        <v>1310078165</v>
      </c>
      <c r="AL57" s="500">
        <f t="shared" si="73"/>
        <v>729310759</v>
      </c>
      <c r="AM57" s="500">
        <f t="shared" si="73"/>
        <v>510067936</v>
      </c>
      <c r="AN57" s="500">
        <f t="shared" si="73"/>
        <v>875085800</v>
      </c>
      <c r="AO57" s="502">
        <f t="shared" si="73"/>
        <v>596148998</v>
      </c>
      <c r="AP57" s="500">
        <f t="shared" si="73"/>
        <v>4006265304</v>
      </c>
      <c r="AQ57" s="500">
        <f t="shared" si="73"/>
        <v>5772765829</v>
      </c>
      <c r="AR57" s="500">
        <f t="shared" si="73"/>
        <v>4996999761</v>
      </c>
      <c r="AS57" s="500">
        <f t="shared" si="73"/>
        <v>4231047411</v>
      </c>
      <c r="AT57" s="500">
        <f t="shared" si="73"/>
        <v>5890593657</v>
      </c>
      <c r="AU57" s="500">
        <f aca="true" t="shared" si="74" ref="AU57:BK57">AU58</f>
        <v>29198781288</v>
      </c>
      <c r="AV57" s="499">
        <f t="shared" si="74"/>
        <v>0</v>
      </c>
      <c r="AW57" s="500">
        <f t="shared" si="74"/>
        <v>280417668</v>
      </c>
      <c r="AX57" s="500">
        <f t="shared" si="74"/>
        <v>1310078165</v>
      </c>
      <c r="AY57" s="500">
        <f t="shared" si="74"/>
        <v>729310759</v>
      </c>
      <c r="AZ57" s="500">
        <f t="shared" si="74"/>
        <v>510067936</v>
      </c>
      <c r="BA57" s="500">
        <f t="shared" si="74"/>
        <v>875085800</v>
      </c>
      <c r="BB57" s="502">
        <f t="shared" si="74"/>
        <v>596148998</v>
      </c>
      <c r="BC57" s="500">
        <f t="shared" si="74"/>
        <v>4006265304</v>
      </c>
      <c r="BD57" s="500">
        <f t="shared" si="74"/>
        <v>5772765829</v>
      </c>
      <c r="BE57" s="500">
        <f t="shared" si="74"/>
        <v>4996999761</v>
      </c>
      <c r="BF57" s="500">
        <f t="shared" si="74"/>
        <v>4231047411</v>
      </c>
      <c r="BG57" s="500">
        <f t="shared" si="74"/>
        <v>5890593657</v>
      </c>
      <c r="BH57" s="501">
        <f t="shared" si="74"/>
        <v>29198781288</v>
      </c>
      <c r="BI57" s="500">
        <f t="shared" si="74"/>
        <v>0</v>
      </c>
      <c r="BJ57" s="533">
        <f t="shared" si="74"/>
        <v>3920218712</v>
      </c>
      <c r="BK57" s="501">
        <f t="shared" si="74"/>
        <v>0</v>
      </c>
    </row>
    <row r="58" spans="1:63" ht="30.75" customHeight="1">
      <c r="A58" s="439" t="s">
        <v>169</v>
      </c>
      <c r="B58" s="440" t="s">
        <v>130</v>
      </c>
      <c r="C58" s="440" t="s">
        <v>180</v>
      </c>
      <c r="D58" s="440" t="s">
        <v>128</v>
      </c>
      <c r="E58" s="440" t="s">
        <v>128</v>
      </c>
      <c r="F58" s="504" t="s">
        <v>128</v>
      </c>
      <c r="G58" s="534" t="s">
        <v>181</v>
      </c>
      <c r="H58" s="506">
        <f aca="true" t="shared" si="75" ref="H58:AM58">SUM(H59:H67)</f>
        <v>32419000000</v>
      </c>
      <c r="I58" s="507">
        <f t="shared" si="75"/>
        <v>-300000000</v>
      </c>
      <c r="J58" s="507">
        <f t="shared" si="75"/>
        <v>300000000</v>
      </c>
      <c r="K58" s="507">
        <f t="shared" si="75"/>
        <v>0</v>
      </c>
      <c r="L58" s="507">
        <f t="shared" si="75"/>
        <v>-1800000000</v>
      </c>
      <c r="M58" s="507">
        <f t="shared" si="75"/>
        <v>2500000000</v>
      </c>
      <c r="N58" s="508">
        <f t="shared" si="75"/>
        <v>33119000000</v>
      </c>
      <c r="O58" s="506">
        <f t="shared" si="75"/>
        <v>32419000000</v>
      </c>
      <c r="P58" s="507">
        <f t="shared" si="75"/>
        <v>-300000000</v>
      </c>
      <c r="Q58" s="507">
        <f t="shared" si="75"/>
        <v>300000000</v>
      </c>
      <c r="R58" s="507">
        <f t="shared" si="75"/>
        <v>0</v>
      </c>
      <c r="S58" s="507">
        <f t="shared" si="75"/>
        <v>-1800000000</v>
      </c>
      <c r="T58" s="507">
        <f t="shared" si="75"/>
        <v>2500000000</v>
      </c>
      <c r="U58" s="508">
        <f t="shared" si="75"/>
        <v>33119000000</v>
      </c>
      <c r="V58" s="507">
        <f t="shared" si="75"/>
        <v>11819000000</v>
      </c>
      <c r="W58" s="507">
        <f t="shared" si="75"/>
        <v>0</v>
      </c>
      <c r="X58" s="507">
        <f t="shared" si="75"/>
        <v>0</v>
      </c>
      <c r="Y58" s="507">
        <f t="shared" si="75"/>
        <v>0</v>
      </c>
      <c r="Z58" s="507">
        <f t="shared" si="75"/>
        <v>0</v>
      </c>
      <c r="AA58" s="507">
        <f t="shared" si="75"/>
        <v>0</v>
      </c>
      <c r="AB58" s="509">
        <f t="shared" si="75"/>
        <v>0</v>
      </c>
      <c r="AC58" s="507">
        <f t="shared" si="75"/>
        <v>20000000000</v>
      </c>
      <c r="AD58" s="507">
        <f t="shared" si="75"/>
        <v>0</v>
      </c>
      <c r="AE58" s="507">
        <f t="shared" si="75"/>
        <v>0</v>
      </c>
      <c r="AF58" s="507">
        <f t="shared" si="75"/>
        <v>0</v>
      </c>
      <c r="AG58" s="507">
        <f t="shared" si="75"/>
        <v>1300000000</v>
      </c>
      <c r="AH58" s="507">
        <f t="shared" si="75"/>
        <v>33119000000</v>
      </c>
      <c r="AI58" s="507">
        <f t="shared" si="75"/>
        <v>0</v>
      </c>
      <c r="AJ58" s="507">
        <f t="shared" si="75"/>
        <v>280417668</v>
      </c>
      <c r="AK58" s="507">
        <f t="shared" si="75"/>
        <v>1310078165</v>
      </c>
      <c r="AL58" s="507">
        <f t="shared" si="75"/>
        <v>729310759</v>
      </c>
      <c r="AM58" s="507">
        <f t="shared" si="75"/>
        <v>510067936</v>
      </c>
      <c r="AN58" s="507">
        <f aca="true" t="shared" si="76" ref="AN58:BK58">SUM(AN59:AN67)</f>
        <v>875085800</v>
      </c>
      <c r="AO58" s="509">
        <f t="shared" si="76"/>
        <v>596148998</v>
      </c>
      <c r="AP58" s="507">
        <f t="shared" si="76"/>
        <v>4006265304</v>
      </c>
      <c r="AQ58" s="507">
        <f t="shared" si="76"/>
        <v>5772765829</v>
      </c>
      <c r="AR58" s="507">
        <f t="shared" si="76"/>
        <v>4996999761</v>
      </c>
      <c r="AS58" s="507">
        <f t="shared" si="76"/>
        <v>4231047411</v>
      </c>
      <c r="AT58" s="507">
        <f t="shared" si="76"/>
        <v>5890593657</v>
      </c>
      <c r="AU58" s="507">
        <f t="shared" si="76"/>
        <v>29198781288</v>
      </c>
      <c r="AV58" s="506">
        <f t="shared" si="76"/>
        <v>0</v>
      </c>
      <c r="AW58" s="507">
        <f t="shared" si="76"/>
        <v>280417668</v>
      </c>
      <c r="AX58" s="507">
        <f t="shared" si="76"/>
        <v>1310078165</v>
      </c>
      <c r="AY58" s="507">
        <f t="shared" si="76"/>
        <v>729310759</v>
      </c>
      <c r="AZ58" s="507">
        <f t="shared" si="76"/>
        <v>510067936</v>
      </c>
      <c r="BA58" s="507">
        <f t="shared" si="76"/>
        <v>875085800</v>
      </c>
      <c r="BB58" s="509">
        <f t="shared" si="76"/>
        <v>596148998</v>
      </c>
      <c r="BC58" s="507">
        <f t="shared" si="76"/>
        <v>4006265304</v>
      </c>
      <c r="BD58" s="507">
        <f t="shared" si="76"/>
        <v>5772765829</v>
      </c>
      <c r="BE58" s="507">
        <f t="shared" si="76"/>
        <v>4996999761</v>
      </c>
      <c r="BF58" s="507">
        <f t="shared" si="76"/>
        <v>4231047411</v>
      </c>
      <c r="BG58" s="507">
        <f t="shared" si="76"/>
        <v>5890593657</v>
      </c>
      <c r="BH58" s="508">
        <f t="shared" si="76"/>
        <v>29198781288</v>
      </c>
      <c r="BI58" s="535">
        <f t="shared" si="76"/>
        <v>0</v>
      </c>
      <c r="BJ58" s="536">
        <f t="shared" si="76"/>
        <v>3920218712</v>
      </c>
      <c r="BK58" s="512">
        <f t="shared" si="76"/>
        <v>0</v>
      </c>
    </row>
    <row r="59" spans="1:63" ht="42.75">
      <c r="A59" s="442" t="s">
        <v>169</v>
      </c>
      <c r="B59" s="443" t="s">
        <v>130</v>
      </c>
      <c r="C59" s="443" t="s">
        <v>180</v>
      </c>
      <c r="D59" s="443" t="s">
        <v>191</v>
      </c>
      <c r="E59" s="443" t="s">
        <v>138</v>
      </c>
      <c r="F59" s="513" t="s">
        <v>192</v>
      </c>
      <c r="G59" s="537" t="s">
        <v>193</v>
      </c>
      <c r="H59" s="515">
        <f aca="true" t="shared" si="77" ref="H59:H67">U59-SUM(I59:M59)</f>
        <v>5000000000</v>
      </c>
      <c r="I59" s="516">
        <v>0</v>
      </c>
      <c r="J59" s="516">
        <v>0</v>
      </c>
      <c r="K59" s="516">
        <v>0</v>
      </c>
      <c r="L59" s="516">
        <v>-1500000000</v>
      </c>
      <c r="M59" s="516">
        <v>2500000000</v>
      </c>
      <c r="N59" s="517">
        <f aca="true" t="shared" si="78" ref="N59:N67">SUM(H59:M59)</f>
        <v>6000000000</v>
      </c>
      <c r="O59" s="515">
        <v>5000000000</v>
      </c>
      <c r="P59" s="516">
        <v>0</v>
      </c>
      <c r="Q59" s="516">
        <v>0</v>
      </c>
      <c r="R59" s="516">
        <v>0</v>
      </c>
      <c r="S59" s="516">
        <v>-1500000000</v>
      </c>
      <c r="T59" s="516">
        <v>2500000000</v>
      </c>
      <c r="U59" s="517">
        <f aca="true" t="shared" si="79" ref="U59:U67">SUM(O59:T59)</f>
        <v>6000000000</v>
      </c>
      <c r="V59" s="516">
        <v>5000000000</v>
      </c>
      <c r="W59" s="516">
        <v>0</v>
      </c>
      <c r="X59" s="516">
        <v>0</v>
      </c>
      <c r="Y59" s="516">
        <v>0</v>
      </c>
      <c r="Z59" s="516">
        <v>0</v>
      </c>
      <c r="AA59" s="516">
        <v>0</v>
      </c>
      <c r="AB59" s="521">
        <v>0</v>
      </c>
      <c r="AC59" s="516">
        <v>0</v>
      </c>
      <c r="AD59" s="516">
        <v>0</v>
      </c>
      <c r="AE59" s="516">
        <v>0</v>
      </c>
      <c r="AF59" s="516">
        <v>0</v>
      </c>
      <c r="AG59" s="516">
        <v>1000000000</v>
      </c>
      <c r="AH59" s="599">
        <f aca="true" t="shared" si="80" ref="AH59:AH67">SUM(V59:AG59)</f>
        <v>6000000000</v>
      </c>
      <c r="AI59" s="598">
        <f aca="true" t="shared" si="81" ref="AI59:AI67">AV59</f>
        <v>0</v>
      </c>
      <c r="AJ59" s="598">
        <f aca="true" t="shared" si="82" ref="AJ59:AJ67">AW59</f>
        <v>0</v>
      </c>
      <c r="AK59" s="598">
        <f aca="true" t="shared" si="83" ref="AK59:AK67">AX59</f>
        <v>175906665</v>
      </c>
      <c r="AL59" s="598">
        <f aca="true" t="shared" si="84" ref="AL59:AL67">AY59</f>
        <v>416054000</v>
      </c>
      <c r="AM59" s="598">
        <f aca="true" t="shared" si="85" ref="AM59:AM67">AZ59</f>
        <v>323044000</v>
      </c>
      <c r="AN59" s="598">
        <f aca="true" t="shared" si="86" ref="AN59:AN67">BA59</f>
        <v>865680000</v>
      </c>
      <c r="AO59" s="515">
        <f aca="true" t="shared" si="87" ref="AO59:AO67">BB59</f>
        <v>500000000</v>
      </c>
      <c r="AP59" s="598">
        <f aca="true" t="shared" si="88" ref="AP59:AP67">BC59</f>
        <v>0</v>
      </c>
      <c r="AQ59" s="598">
        <f aca="true" t="shared" si="89" ref="AQ59:AQ67">BD59</f>
        <v>0</v>
      </c>
      <c r="AR59" s="516">
        <f aca="true" t="shared" si="90" ref="AR59:AR68">BE59</f>
        <v>0</v>
      </c>
      <c r="AS59" s="598">
        <f aca="true" t="shared" si="91" ref="AS59:AS67">BF59</f>
        <v>0</v>
      </c>
      <c r="AT59" s="598">
        <f aca="true" t="shared" si="92" ref="AT59:AT67">BG59</f>
        <v>2105915732</v>
      </c>
      <c r="AU59" s="548">
        <f aca="true" t="shared" si="93" ref="AU59:AU67">SUM(AI59:AT59)</f>
        <v>4386600397</v>
      </c>
      <c r="AV59" s="515">
        <v>0</v>
      </c>
      <c r="AW59" s="516">
        <v>0</v>
      </c>
      <c r="AX59" s="516">
        <v>175906665</v>
      </c>
      <c r="AY59" s="516">
        <v>416054000</v>
      </c>
      <c r="AZ59" s="516">
        <v>323044000</v>
      </c>
      <c r="BA59" s="516">
        <v>865680000</v>
      </c>
      <c r="BB59" s="521">
        <v>500000000</v>
      </c>
      <c r="BC59" s="516">
        <v>0</v>
      </c>
      <c r="BD59" s="516">
        <v>0</v>
      </c>
      <c r="BE59" s="516">
        <v>0</v>
      </c>
      <c r="BF59" s="516">
        <v>0</v>
      </c>
      <c r="BG59" s="516">
        <v>2105915732</v>
      </c>
      <c r="BH59" s="517">
        <f aca="true" t="shared" si="94" ref="BH59:BH67">SUM(AV59:BG59)</f>
        <v>4386600397</v>
      </c>
      <c r="BI59" s="538">
        <f aca="true" t="shared" si="95" ref="BI59:BI67">U59-AH59</f>
        <v>0</v>
      </c>
      <c r="BJ59" s="539">
        <f aca="true" t="shared" si="96" ref="BJ59:BJ67">AH59-AU59</f>
        <v>1613399603</v>
      </c>
      <c r="BK59" s="520">
        <f aca="true" t="shared" si="97" ref="BK59:BK67">AU59-BH59</f>
        <v>0</v>
      </c>
    </row>
    <row r="60" spans="1:63" ht="29.25" thickBot="1">
      <c r="A60" s="442" t="s">
        <v>169</v>
      </c>
      <c r="B60" s="443" t="s">
        <v>130</v>
      </c>
      <c r="C60" s="443" t="s">
        <v>180</v>
      </c>
      <c r="D60" s="443" t="s">
        <v>184</v>
      </c>
      <c r="E60" s="443" t="s">
        <v>185</v>
      </c>
      <c r="F60" s="513" t="s">
        <v>192</v>
      </c>
      <c r="G60" s="537" t="s">
        <v>186</v>
      </c>
      <c r="H60" s="515">
        <f t="shared" si="77"/>
        <v>1400000000</v>
      </c>
      <c r="I60" s="516">
        <v>0</v>
      </c>
      <c r="J60" s="516">
        <v>0</v>
      </c>
      <c r="K60" s="516">
        <v>0</v>
      </c>
      <c r="L60" s="516">
        <v>0</v>
      </c>
      <c r="M60" s="516">
        <v>0</v>
      </c>
      <c r="N60" s="517">
        <f>SUM(H60:M60)</f>
        <v>1400000000</v>
      </c>
      <c r="O60" s="515">
        <v>1400000000</v>
      </c>
      <c r="P60" s="516">
        <v>0</v>
      </c>
      <c r="Q60" s="516">
        <v>0</v>
      </c>
      <c r="R60" s="516">
        <v>0</v>
      </c>
      <c r="S60" s="516">
        <v>0</v>
      </c>
      <c r="T60" s="516">
        <v>0</v>
      </c>
      <c r="U60" s="517">
        <f>SUM(O60:T60)</f>
        <v>1400000000</v>
      </c>
      <c r="V60" s="515">
        <v>1400000000</v>
      </c>
      <c r="W60" s="516">
        <v>0</v>
      </c>
      <c r="X60" s="516">
        <v>0</v>
      </c>
      <c r="Y60" s="516">
        <v>0</v>
      </c>
      <c r="Z60" s="516">
        <v>0</v>
      </c>
      <c r="AA60" s="516">
        <v>0</v>
      </c>
      <c r="AB60" s="521">
        <v>0</v>
      </c>
      <c r="AC60" s="516">
        <v>0</v>
      </c>
      <c r="AD60" s="516">
        <v>0</v>
      </c>
      <c r="AE60" s="516">
        <v>0</v>
      </c>
      <c r="AF60" s="516">
        <v>0</v>
      </c>
      <c r="AG60" s="516">
        <v>0</v>
      </c>
      <c r="AH60" s="599">
        <f t="shared" si="80"/>
        <v>1400000000</v>
      </c>
      <c r="AI60" s="516">
        <f t="shared" si="81"/>
        <v>0</v>
      </c>
      <c r="AJ60" s="516">
        <f t="shared" si="82"/>
        <v>0</v>
      </c>
      <c r="AK60" s="516">
        <f t="shared" si="83"/>
        <v>1000000000</v>
      </c>
      <c r="AL60" s="516">
        <f t="shared" si="84"/>
        <v>0</v>
      </c>
      <c r="AM60" s="516">
        <f t="shared" si="85"/>
        <v>0</v>
      </c>
      <c r="AN60" s="516">
        <f t="shared" si="86"/>
        <v>0</v>
      </c>
      <c r="AO60" s="515">
        <f t="shared" si="87"/>
        <v>0</v>
      </c>
      <c r="AP60" s="516">
        <f t="shared" si="88"/>
        <v>0</v>
      </c>
      <c r="AQ60" s="516">
        <f t="shared" si="89"/>
        <v>0</v>
      </c>
      <c r="AR60" s="525">
        <f t="shared" si="90"/>
        <v>0</v>
      </c>
      <c r="AS60" s="516">
        <f t="shared" si="91"/>
        <v>0</v>
      </c>
      <c r="AT60" s="516">
        <f t="shared" si="92"/>
        <v>400000000</v>
      </c>
      <c r="AU60" s="548">
        <f t="shared" si="93"/>
        <v>1400000000</v>
      </c>
      <c r="AV60" s="515">
        <v>0</v>
      </c>
      <c r="AW60" s="516">
        <v>0</v>
      </c>
      <c r="AX60" s="516">
        <v>1000000000</v>
      </c>
      <c r="AY60" s="516">
        <v>0</v>
      </c>
      <c r="AZ60" s="516">
        <v>0</v>
      </c>
      <c r="BA60" s="516">
        <v>0</v>
      </c>
      <c r="BB60" s="521">
        <v>0</v>
      </c>
      <c r="BC60" s="516">
        <v>0</v>
      </c>
      <c r="BD60" s="516">
        <v>0</v>
      </c>
      <c r="BE60" s="516">
        <v>0</v>
      </c>
      <c r="BF60" s="516">
        <v>0</v>
      </c>
      <c r="BG60" s="516">
        <v>400000000</v>
      </c>
      <c r="BH60" s="517">
        <f>SUM(AV60:BG60)</f>
        <v>1400000000</v>
      </c>
      <c r="BI60" s="538">
        <f>U60-AH60</f>
        <v>0</v>
      </c>
      <c r="BJ60" s="539">
        <f>AH60-AU60</f>
        <v>0</v>
      </c>
      <c r="BK60" s="520">
        <f>AU60-BH60</f>
        <v>0</v>
      </c>
    </row>
    <row r="61" spans="1:63" ht="29.25" thickBot="1">
      <c r="A61" s="442" t="s">
        <v>169</v>
      </c>
      <c r="B61" s="443" t="s">
        <v>130</v>
      </c>
      <c r="C61" s="443" t="s">
        <v>180</v>
      </c>
      <c r="D61" s="443" t="s">
        <v>184</v>
      </c>
      <c r="E61" s="443" t="s">
        <v>248</v>
      </c>
      <c r="F61" s="513" t="s">
        <v>192</v>
      </c>
      <c r="G61" s="537" t="s">
        <v>194</v>
      </c>
      <c r="H61" s="515">
        <f t="shared" si="77"/>
        <v>3219000000</v>
      </c>
      <c r="I61" s="516">
        <v>0</v>
      </c>
      <c r="J61" s="516">
        <v>0</v>
      </c>
      <c r="K61" s="516">
        <v>0</v>
      </c>
      <c r="L61" s="516">
        <v>0</v>
      </c>
      <c r="M61" s="516">
        <v>0</v>
      </c>
      <c r="N61" s="517">
        <f t="shared" si="78"/>
        <v>3219000000</v>
      </c>
      <c r="O61" s="515">
        <v>3219000000</v>
      </c>
      <c r="P61" s="516">
        <v>0</v>
      </c>
      <c r="Q61" s="516">
        <v>0</v>
      </c>
      <c r="R61" s="516">
        <v>0</v>
      </c>
      <c r="S61" s="516">
        <v>0</v>
      </c>
      <c r="T61" s="516">
        <v>0</v>
      </c>
      <c r="U61" s="517">
        <f t="shared" si="79"/>
        <v>3219000000</v>
      </c>
      <c r="V61" s="516">
        <v>3219000000</v>
      </c>
      <c r="W61" s="516">
        <v>0</v>
      </c>
      <c r="X61" s="516">
        <v>0</v>
      </c>
      <c r="Y61" s="516">
        <v>0</v>
      </c>
      <c r="Z61" s="516">
        <v>0</v>
      </c>
      <c r="AA61" s="516">
        <v>0</v>
      </c>
      <c r="AB61" s="521">
        <v>0</v>
      </c>
      <c r="AC61" s="516">
        <v>0</v>
      </c>
      <c r="AD61" s="516">
        <v>0</v>
      </c>
      <c r="AE61" s="516">
        <v>0</v>
      </c>
      <c r="AF61" s="516">
        <v>0</v>
      </c>
      <c r="AG61" s="516">
        <v>0</v>
      </c>
      <c r="AH61" s="599">
        <f t="shared" si="80"/>
        <v>3219000000</v>
      </c>
      <c r="AI61" s="516">
        <f t="shared" si="81"/>
        <v>0</v>
      </c>
      <c r="AJ61" s="516">
        <f t="shared" si="82"/>
        <v>280417668</v>
      </c>
      <c r="AK61" s="516">
        <f t="shared" si="83"/>
        <v>106840000</v>
      </c>
      <c r="AL61" s="516">
        <f t="shared" si="84"/>
        <v>197592850</v>
      </c>
      <c r="AM61" s="516">
        <f t="shared" si="85"/>
        <v>159028156</v>
      </c>
      <c r="AN61" s="516">
        <f t="shared" si="86"/>
        <v>790800</v>
      </c>
      <c r="AO61" s="515">
        <f t="shared" si="87"/>
        <v>89048998</v>
      </c>
      <c r="AP61" s="516">
        <f t="shared" si="88"/>
        <v>19920000</v>
      </c>
      <c r="AQ61" s="516">
        <f t="shared" si="89"/>
        <v>10459339</v>
      </c>
      <c r="AR61" s="525">
        <f t="shared" si="90"/>
        <v>0</v>
      </c>
      <c r="AS61" s="516">
        <f t="shared" si="91"/>
        <v>308391274</v>
      </c>
      <c r="AT61" s="516">
        <f t="shared" si="92"/>
        <v>872433201</v>
      </c>
      <c r="AU61" s="548">
        <f t="shared" si="93"/>
        <v>2044922286</v>
      </c>
      <c r="AV61" s="515">
        <v>0</v>
      </c>
      <c r="AW61" s="516">
        <v>280417668</v>
      </c>
      <c r="AX61" s="516">
        <f>103520000+3320000</f>
        <v>106840000</v>
      </c>
      <c r="AY61" s="516">
        <v>197592850</v>
      </c>
      <c r="AZ61" s="516">
        <v>159028156</v>
      </c>
      <c r="BA61" s="516">
        <v>790800</v>
      </c>
      <c r="BB61" s="521">
        <v>89048998</v>
      </c>
      <c r="BC61" s="516">
        <v>19920000</v>
      </c>
      <c r="BD61" s="516">
        <v>10459339</v>
      </c>
      <c r="BE61" s="516">
        <v>0</v>
      </c>
      <c r="BF61" s="516">
        <v>308391274</v>
      </c>
      <c r="BG61" s="516">
        <v>872433201</v>
      </c>
      <c r="BH61" s="517">
        <f t="shared" si="94"/>
        <v>2044922286</v>
      </c>
      <c r="BI61" s="538">
        <f t="shared" si="95"/>
        <v>0</v>
      </c>
      <c r="BJ61" s="539">
        <f t="shared" si="96"/>
        <v>1174077714</v>
      </c>
      <c r="BK61" s="520">
        <f t="shared" si="97"/>
        <v>0</v>
      </c>
    </row>
    <row r="62" spans="1:63" ht="28.5">
      <c r="A62" s="442" t="s">
        <v>169</v>
      </c>
      <c r="B62" s="443" t="s">
        <v>130</v>
      </c>
      <c r="C62" s="443" t="s">
        <v>180</v>
      </c>
      <c r="D62" s="443" t="s">
        <v>184</v>
      </c>
      <c r="E62" s="443" t="s">
        <v>195</v>
      </c>
      <c r="F62" s="513" t="s">
        <v>192</v>
      </c>
      <c r="G62" s="537" t="s">
        <v>196</v>
      </c>
      <c r="H62" s="515">
        <f t="shared" si="77"/>
        <v>600000000</v>
      </c>
      <c r="I62" s="516">
        <v>0</v>
      </c>
      <c r="J62" s="516">
        <v>0</v>
      </c>
      <c r="K62" s="516">
        <v>0</v>
      </c>
      <c r="L62" s="516">
        <v>0</v>
      </c>
      <c r="M62" s="516">
        <v>0</v>
      </c>
      <c r="N62" s="517">
        <f t="shared" si="78"/>
        <v>600000000</v>
      </c>
      <c r="O62" s="515">
        <v>600000000</v>
      </c>
      <c r="P62" s="516">
        <v>0</v>
      </c>
      <c r="Q62" s="516">
        <v>0</v>
      </c>
      <c r="R62" s="516">
        <v>0</v>
      </c>
      <c r="S62" s="516">
        <v>0</v>
      </c>
      <c r="T62" s="516">
        <v>0</v>
      </c>
      <c r="U62" s="517">
        <f t="shared" si="79"/>
        <v>600000000</v>
      </c>
      <c r="V62" s="516">
        <v>600000000</v>
      </c>
      <c r="W62" s="516">
        <v>0</v>
      </c>
      <c r="X62" s="516">
        <v>0</v>
      </c>
      <c r="Y62" s="516">
        <v>0</v>
      </c>
      <c r="Z62" s="516">
        <v>0</v>
      </c>
      <c r="AA62" s="516">
        <v>0</v>
      </c>
      <c r="AB62" s="521">
        <v>0</v>
      </c>
      <c r="AC62" s="516">
        <v>0</v>
      </c>
      <c r="AD62" s="516">
        <v>0</v>
      </c>
      <c r="AE62" s="516">
        <v>0</v>
      </c>
      <c r="AF62" s="516">
        <v>0</v>
      </c>
      <c r="AG62" s="516">
        <v>0</v>
      </c>
      <c r="AH62" s="599">
        <f t="shared" si="80"/>
        <v>600000000</v>
      </c>
      <c r="AI62" s="516">
        <f t="shared" si="81"/>
        <v>0</v>
      </c>
      <c r="AJ62" s="516">
        <f t="shared" si="82"/>
        <v>0</v>
      </c>
      <c r="AK62" s="516">
        <f t="shared" si="83"/>
        <v>0</v>
      </c>
      <c r="AL62" s="516">
        <f t="shared" si="84"/>
        <v>0</v>
      </c>
      <c r="AM62" s="516">
        <f t="shared" si="85"/>
        <v>0</v>
      </c>
      <c r="AN62" s="516">
        <f t="shared" si="86"/>
        <v>6615000</v>
      </c>
      <c r="AO62" s="515">
        <f t="shared" si="87"/>
        <v>1130000</v>
      </c>
      <c r="AP62" s="516">
        <f t="shared" si="88"/>
        <v>0</v>
      </c>
      <c r="AQ62" s="516">
        <f t="shared" si="89"/>
        <v>0</v>
      </c>
      <c r="AR62" s="516">
        <f t="shared" si="90"/>
        <v>0</v>
      </c>
      <c r="AS62" s="516">
        <f t="shared" si="91"/>
        <v>0</v>
      </c>
      <c r="AT62" s="516">
        <f t="shared" si="92"/>
        <v>166600000</v>
      </c>
      <c r="AU62" s="548">
        <f t="shared" si="93"/>
        <v>174345000</v>
      </c>
      <c r="AV62" s="515">
        <v>0</v>
      </c>
      <c r="AW62" s="516">
        <v>0</v>
      </c>
      <c r="AX62" s="516">
        <v>0</v>
      </c>
      <c r="AY62" s="516">
        <v>0</v>
      </c>
      <c r="AZ62" s="516">
        <v>0</v>
      </c>
      <c r="BA62" s="516">
        <v>6615000</v>
      </c>
      <c r="BB62" s="521">
        <v>1130000</v>
      </c>
      <c r="BC62" s="516">
        <v>0</v>
      </c>
      <c r="BD62" s="516">
        <v>0</v>
      </c>
      <c r="BE62" s="516">
        <v>0</v>
      </c>
      <c r="BF62" s="516">
        <v>0</v>
      </c>
      <c r="BG62" s="516">
        <v>166600000</v>
      </c>
      <c r="BH62" s="517">
        <f t="shared" si="94"/>
        <v>174345000</v>
      </c>
      <c r="BI62" s="538">
        <f t="shared" si="95"/>
        <v>0</v>
      </c>
      <c r="BJ62" s="539">
        <f t="shared" si="96"/>
        <v>425655000</v>
      </c>
      <c r="BK62" s="520">
        <f t="shared" si="97"/>
        <v>0</v>
      </c>
    </row>
    <row r="63" spans="1:63" ht="42.75">
      <c r="A63" s="449" t="s">
        <v>169</v>
      </c>
      <c r="B63" s="443" t="s">
        <v>130</v>
      </c>
      <c r="C63" s="443" t="s">
        <v>180</v>
      </c>
      <c r="D63" s="443" t="s">
        <v>184</v>
      </c>
      <c r="E63" s="443" t="s">
        <v>197</v>
      </c>
      <c r="F63" s="513" t="s">
        <v>192</v>
      </c>
      <c r="G63" s="537" t="s">
        <v>198</v>
      </c>
      <c r="H63" s="515">
        <f t="shared" si="77"/>
        <v>600000000</v>
      </c>
      <c r="I63" s="516">
        <v>0</v>
      </c>
      <c r="J63" s="516">
        <v>0</v>
      </c>
      <c r="K63" s="516">
        <v>0</v>
      </c>
      <c r="L63" s="516">
        <v>0</v>
      </c>
      <c r="M63" s="516">
        <v>0</v>
      </c>
      <c r="N63" s="517">
        <f t="shared" si="78"/>
        <v>600000000</v>
      </c>
      <c r="O63" s="515">
        <v>600000000</v>
      </c>
      <c r="P63" s="516">
        <v>0</v>
      </c>
      <c r="Q63" s="516">
        <v>0</v>
      </c>
      <c r="R63" s="516">
        <v>0</v>
      </c>
      <c r="S63" s="516">
        <v>0</v>
      </c>
      <c r="T63" s="516">
        <v>0</v>
      </c>
      <c r="U63" s="517">
        <f t="shared" si="79"/>
        <v>600000000</v>
      </c>
      <c r="V63" s="516">
        <v>600000000</v>
      </c>
      <c r="W63" s="516">
        <v>0</v>
      </c>
      <c r="X63" s="516">
        <v>0</v>
      </c>
      <c r="Y63" s="516">
        <v>0</v>
      </c>
      <c r="Z63" s="516">
        <v>0</v>
      </c>
      <c r="AA63" s="516">
        <v>0</v>
      </c>
      <c r="AB63" s="521">
        <v>0</v>
      </c>
      <c r="AC63" s="516">
        <v>0</v>
      </c>
      <c r="AD63" s="516">
        <v>0</v>
      </c>
      <c r="AE63" s="516">
        <v>0</v>
      </c>
      <c r="AF63" s="516">
        <v>0</v>
      </c>
      <c r="AG63" s="516">
        <v>0</v>
      </c>
      <c r="AH63" s="599">
        <f t="shared" si="80"/>
        <v>600000000</v>
      </c>
      <c r="AI63" s="516">
        <f t="shared" si="81"/>
        <v>0</v>
      </c>
      <c r="AJ63" s="516">
        <f t="shared" si="82"/>
        <v>0</v>
      </c>
      <c r="AK63" s="516">
        <f t="shared" si="83"/>
        <v>27331500</v>
      </c>
      <c r="AL63" s="516">
        <f t="shared" si="84"/>
        <v>115663909</v>
      </c>
      <c r="AM63" s="516">
        <f t="shared" si="85"/>
        <v>27995780</v>
      </c>
      <c r="AN63" s="516">
        <f t="shared" si="86"/>
        <v>2000000</v>
      </c>
      <c r="AO63" s="515">
        <f t="shared" si="87"/>
        <v>5970000</v>
      </c>
      <c r="AP63" s="516">
        <f t="shared" si="88"/>
        <v>2691400</v>
      </c>
      <c r="AQ63" s="516">
        <f t="shared" si="89"/>
        <v>43550000</v>
      </c>
      <c r="AR63" s="516">
        <f t="shared" si="90"/>
        <v>0</v>
      </c>
      <c r="AS63" s="516">
        <f t="shared" si="91"/>
        <v>0</v>
      </c>
      <c r="AT63" s="516">
        <f t="shared" si="92"/>
        <v>183419890</v>
      </c>
      <c r="AU63" s="548">
        <f t="shared" si="93"/>
        <v>408622479</v>
      </c>
      <c r="AV63" s="515">
        <v>0</v>
      </c>
      <c r="AW63" s="516">
        <v>0</v>
      </c>
      <c r="AX63" s="516">
        <v>27331500</v>
      </c>
      <c r="AY63" s="516">
        <v>115663909</v>
      </c>
      <c r="AZ63" s="516">
        <v>27995780</v>
      </c>
      <c r="BA63" s="516">
        <v>2000000</v>
      </c>
      <c r="BB63" s="521">
        <v>5970000</v>
      </c>
      <c r="BC63" s="516">
        <v>2691400</v>
      </c>
      <c r="BD63" s="516">
        <v>43550000</v>
      </c>
      <c r="BE63" s="516">
        <v>0</v>
      </c>
      <c r="BF63" s="516">
        <v>0</v>
      </c>
      <c r="BG63" s="516">
        <v>183419890</v>
      </c>
      <c r="BH63" s="517">
        <f t="shared" si="94"/>
        <v>408622479</v>
      </c>
      <c r="BI63" s="538">
        <f t="shared" si="95"/>
        <v>0</v>
      </c>
      <c r="BJ63" s="539">
        <f t="shared" si="96"/>
        <v>191377521</v>
      </c>
      <c r="BK63" s="520">
        <f t="shared" si="97"/>
        <v>0</v>
      </c>
    </row>
    <row r="64" spans="1:63" ht="42.75">
      <c r="A64" s="449" t="s">
        <v>169</v>
      </c>
      <c r="B64" s="443" t="s">
        <v>130</v>
      </c>
      <c r="C64" s="443" t="s">
        <v>180</v>
      </c>
      <c r="D64" s="443" t="s">
        <v>184</v>
      </c>
      <c r="E64" s="443" t="s">
        <v>197</v>
      </c>
      <c r="F64" s="513" t="s">
        <v>265</v>
      </c>
      <c r="G64" s="537" t="s">
        <v>198</v>
      </c>
      <c r="H64" s="515">
        <f>U64-SUM(I64:M64)</f>
        <v>300000000</v>
      </c>
      <c r="I64" s="516">
        <v>0</v>
      </c>
      <c r="J64" s="516">
        <v>0</v>
      </c>
      <c r="K64" s="516">
        <v>0</v>
      </c>
      <c r="L64" s="516">
        <v>-300000000</v>
      </c>
      <c r="M64" s="516">
        <v>0</v>
      </c>
      <c r="N64" s="517">
        <f>SUM(H64:M64)</f>
        <v>0</v>
      </c>
      <c r="O64" s="515">
        <v>300000000</v>
      </c>
      <c r="P64" s="516">
        <v>0</v>
      </c>
      <c r="Q64" s="516">
        <v>0</v>
      </c>
      <c r="R64" s="516">
        <v>0</v>
      </c>
      <c r="S64" s="516">
        <v>-300000000</v>
      </c>
      <c r="T64" s="516">
        <v>0</v>
      </c>
      <c r="U64" s="517">
        <f>SUM(O64:T64)</f>
        <v>0</v>
      </c>
      <c r="V64" s="516">
        <v>0</v>
      </c>
      <c r="W64" s="516">
        <v>0</v>
      </c>
      <c r="X64" s="516">
        <v>0</v>
      </c>
      <c r="Y64" s="516">
        <v>0</v>
      </c>
      <c r="Z64" s="516">
        <v>0</v>
      </c>
      <c r="AA64" s="516">
        <v>0</v>
      </c>
      <c r="AB64" s="521">
        <v>0</v>
      </c>
      <c r="AC64" s="516">
        <v>0</v>
      </c>
      <c r="AD64" s="516">
        <v>0</v>
      </c>
      <c r="AE64" s="516">
        <v>0</v>
      </c>
      <c r="AF64" s="516">
        <v>0</v>
      </c>
      <c r="AG64" s="516">
        <v>0</v>
      </c>
      <c r="AH64" s="599">
        <f>SUM(V64:AG64)</f>
        <v>0</v>
      </c>
      <c r="AI64" s="516">
        <f t="shared" si="81"/>
        <v>0</v>
      </c>
      <c r="AJ64" s="516">
        <f t="shared" si="82"/>
        <v>0</v>
      </c>
      <c r="AK64" s="516">
        <f t="shared" si="83"/>
        <v>0</v>
      </c>
      <c r="AL64" s="516">
        <f t="shared" si="84"/>
        <v>0</v>
      </c>
      <c r="AM64" s="516">
        <f t="shared" si="85"/>
        <v>0</v>
      </c>
      <c r="AN64" s="516">
        <f t="shared" si="86"/>
        <v>0</v>
      </c>
      <c r="AO64" s="515">
        <f t="shared" si="87"/>
        <v>0</v>
      </c>
      <c r="AP64" s="516">
        <f t="shared" si="88"/>
        <v>0</v>
      </c>
      <c r="AQ64" s="516">
        <f t="shared" si="89"/>
        <v>0</v>
      </c>
      <c r="AR64" s="516">
        <f t="shared" si="90"/>
        <v>0</v>
      </c>
      <c r="AS64" s="516">
        <f t="shared" si="91"/>
        <v>0</v>
      </c>
      <c r="AT64" s="516">
        <f t="shared" si="92"/>
        <v>0</v>
      </c>
      <c r="AU64" s="548">
        <f>SUM(AI64:AT64)</f>
        <v>0</v>
      </c>
      <c r="AV64" s="515">
        <v>0</v>
      </c>
      <c r="AW64" s="516">
        <v>0</v>
      </c>
      <c r="AX64" s="516">
        <v>0</v>
      </c>
      <c r="AY64" s="516">
        <v>0</v>
      </c>
      <c r="AZ64" s="516">
        <v>0</v>
      </c>
      <c r="BA64" s="516">
        <v>0</v>
      </c>
      <c r="BB64" s="521">
        <v>0</v>
      </c>
      <c r="BC64" s="516">
        <v>0</v>
      </c>
      <c r="BD64" s="516">
        <v>0</v>
      </c>
      <c r="BE64" s="516">
        <v>0</v>
      </c>
      <c r="BF64" s="516">
        <v>0</v>
      </c>
      <c r="BG64" s="516">
        <v>0</v>
      </c>
      <c r="BH64" s="517">
        <f>SUM(AV64:BG64)</f>
        <v>0</v>
      </c>
      <c r="BI64" s="538">
        <f>U64-AH64</f>
        <v>0</v>
      </c>
      <c r="BJ64" s="539">
        <f>AH64-AU64</f>
        <v>0</v>
      </c>
      <c r="BK64" s="520">
        <f>AU64-BH64</f>
        <v>0</v>
      </c>
    </row>
    <row r="65" spans="1:63" ht="28.5">
      <c r="A65" s="449" t="s">
        <v>169</v>
      </c>
      <c r="B65" s="443" t="s">
        <v>130</v>
      </c>
      <c r="C65" s="443" t="s">
        <v>180</v>
      </c>
      <c r="D65" s="443" t="s">
        <v>184</v>
      </c>
      <c r="E65" s="443" t="s">
        <v>249</v>
      </c>
      <c r="F65" s="513" t="s">
        <v>192</v>
      </c>
      <c r="G65" s="537" t="s">
        <v>257</v>
      </c>
      <c r="H65" s="515">
        <f t="shared" si="77"/>
        <v>300000000</v>
      </c>
      <c r="I65" s="516">
        <v>-300000000</v>
      </c>
      <c r="J65" s="516">
        <v>0</v>
      </c>
      <c r="K65" s="516">
        <v>0</v>
      </c>
      <c r="L65" s="516">
        <v>0</v>
      </c>
      <c r="M65" s="516">
        <v>0</v>
      </c>
      <c r="N65" s="517">
        <f t="shared" si="78"/>
        <v>0</v>
      </c>
      <c r="O65" s="515">
        <v>300000000</v>
      </c>
      <c r="P65" s="516">
        <v>-300000000</v>
      </c>
      <c r="Q65" s="516">
        <v>0</v>
      </c>
      <c r="R65" s="516">
        <v>0</v>
      </c>
      <c r="S65" s="516">
        <v>0</v>
      </c>
      <c r="T65" s="516">
        <v>0</v>
      </c>
      <c r="U65" s="517">
        <f t="shared" si="79"/>
        <v>0</v>
      </c>
      <c r="V65" s="516">
        <v>0</v>
      </c>
      <c r="W65" s="516">
        <v>0</v>
      </c>
      <c r="X65" s="516">
        <v>0</v>
      </c>
      <c r="Y65" s="516">
        <v>0</v>
      </c>
      <c r="Z65" s="516">
        <v>0</v>
      </c>
      <c r="AA65" s="516">
        <v>0</v>
      </c>
      <c r="AB65" s="521">
        <v>0</v>
      </c>
      <c r="AC65" s="516">
        <v>0</v>
      </c>
      <c r="AD65" s="516">
        <v>0</v>
      </c>
      <c r="AE65" s="516">
        <v>0</v>
      </c>
      <c r="AF65" s="516">
        <v>0</v>
      </c>
      <c r="AG65" s="516">
        <v>0</v>
      </c>
      <c r="AH65" s="599">
        <f t="shared" si="80"/>
        <v>0</v>
      </c>
      <c r="AI65" s="516">
        <f t="shared" si="81"/>
        <v>0</v>
      </c>
      <c r="AJ65" s="516">
        <f t="shared" si="82"/>
        <v>0</v>
      </c>
      <c r="AK65" s="516">
        <f t="shared" si="83"/>
        <v>0</v>
      </c>
      <c r="AL65" s="516">
        <f t="shared" si="84"/>
        <v>0</v>
      </c>
      <c r="AM65" s="516">
        <f t="shared" si="85"/>
        <v>0</v>
      </c>
      <c r="AN65" s="516">
        <f t="shared" si="86"/>
        <v>0</v>
      </c>
      <c r="AO65" s="515">
        <f t="shared" si="87"/>
        <v>0</v>
      </c>
      <c r="AP65" s="516">
        <f t="shared" si="88"/>
        <v>0</v>
      </c>
      <c r="AQ65" s="516">
        <f t="shared" si="89"/>
        <v>0</v>
      </c>
      <c r="AR65" s="516">
        <f t="shared" si="90"/>
        <v>0</v>
      </c>
      <c r="AS65" s="516">
        <f t="shared" si="91"/>
        <v>0</v>
      </c>
      <c r="AT65" s="516">
        <f t="shared" si="92"/>
        <v>0</v>
      </c>
      <c r="AU65" s="548">
        <f t="shared" si="93"/>
        <v>0</v>
      </c>
      <c r="AV65" s="515">
        <v>0</v>
      </c>
      <c r="AW65" s="516">
        <v>0</v>
      </c>
      <c r="AX65" s="516">
        <v>0</v>
      </c>
      <c r="AY65" s="516">
        <v>0</v>
      </c>
      <c r="AZ65" s="516">
        <v>0</v>
      </c>
      <c r="BA65" s="516">
        <v>0</v>
      </c>
      <c r="BB65" s="521">
        <v>0</v>
      </c>
      <c r="BC65" s="516">
        <v>0</v>
      </c>
      <c r="BD65" s="516">
        <v>0</v>
      </c>
      <c r="BE65" s="516">
        <v>0</v>
      </c>
      <c r="BF65" s="516">
        <v>0</v>
      </c>
      <c r="BG65" s="516">
        <v>0</v>
      </c>
      <c r="BH65" s="517">
        <f t="shared" si="94"/>
        <v>0</v>
      </c>
      <c r="BI65" s="538">
        <f t="shared" si="95"/>
        <v>0</v>
      </c>
      <c r="BJ65" s="539">
        <f t="shared" si="96"/>
        <v>0</v>
      </c>
      <c r="BK65" s="520">
        <f t="shared" si="97"/>
        <v>0</v>
      </c>
    </row>
    <row r="66" spans="1:63" ht="42.75">
      <c r="A66" s="449" t="s">
        <v>169</v>
      </c>
      <c r="B66" s="443" t="s">
        <v>130</v>
      </c>
      <c r="C66" s="443" t="s">
        <v>180</v>
      </c>
      <c r="D66" s="443" t="s">
        <v>184</v>
      </c>
      <c r="E66" s="443" t="s">
        <v>256</v>
      </c>
      <c r="F66" s="513" t="s">
        <v>192</v>
      </c>
      <c r="G66" s="537" t="s">
        <v>258</v>
      </c>
      <c r="H66" s="515">
        <f t="shared" si="77"/>
        <v>1000000000</v>
      </c>
      <c r="I66" s="516">
        <v>0</v>
      </c>
      <c r="J66" s="516">
        <v>300000000</v>
      </c>
      <c r="K66" s="516">
        <v>0</v>
      </c>
      <c r="L66" s="516">
        <v>0</v>
      </c>
      <c r="M66" s="516">
        <v>0</v>
      </c>
      <c r="N66" s="517">
        <f>SUM(H66:M66)</f>
        <v>1300000000</v>
      </c>
      <c r="O66" s="515">
        <v>1000000000</v>
      </c>
      <c r="P66" s="516">
        <v>0</v>
      </c>
      <c r="Q66" s="516">
        <v>300000000</v>
      </c>
      <c r="R66" s="516">
        <v>0</v>
      </c>
      <c r="S66" s="516">
        <v>0</v>
      </c>
      <c r="T66" s="516">
        <v>0</v>
      </c>
      <c r="U66" s="517">
        <f t="shared" si="79"/>
        <v>1300000000</v>
      </c>
      <c r="V66" s="516">
        <v>1000000000</v>
      </c>
      <c r="W66" s="516">
        <v>0</v>
      </c>
      <c r="X66" s="516">
        <v>0</v>
      </c>
      <c r="Y66" s="516">
        <v>0</v>
      </c>
      <c r="Z66" s="516">
        <v>0</v>
      </c>
      <c r="AA66" s="516">
        <v>0</v>
      </c>
      <c r="AB66" s="521">
        <v>0</v>
      </c>
      <c r="AC66" s="516">
        <v>0</v>
      </c>
      <c r="AD66" s="516">
        <v>0</v>
      </c>
      <c r="AE66" s="516">
        <v>0</v>
      </c>
      <c r="AF66" s="516">
        <v>0</v>
      </c>
      <c r="AG66" s="516">
        <v>300000000</v>
      </c>
      <c r="AH66" s="599">
        <f t="shared" si="80"/>
        <v>1300000000</v>
      </c>
      <c r="AI66" s="516">
        <f t="shared" si="81"/>
        <v>0</v>
      </c>
      <c r="AJ66" s="516">
        <f t="shared" si="82"/>
        <v>0</v>
      </c>
      <c r="AK66" s="516">
        <f t="shared" si="83"/>
        <v>0</v>
      </c>
      <c r="AL66" s="516">
        <f t="shared" si="84"/>
        <v>0</v>
      </c>
      <c r="AM66" s="516">
        <f t="shared" si="85"/>
        <v>0</v>
      </c>
      <c r="AN66" s="516">
        <f t="shared" si="86"/>
        <v>0</v>
      </c>
      <c r="AO66" s="515">
        <f t="shared" si="87"/>
        <v>0</v>
      </c>
      <c r="AP66" s="516">
        <f t="shared" si="88"/>
        <v>0</v>
      </c>
      <c r="AQ66" s="516">
        <f t="shared" si="89"/>
        <v>0</v>
      </c>
      <c r="AR66" s="516">
        <f t="shared" si="90"/>
        <v>0</v>
      </c>
      <c r="AS66" s="516">
        <f t="shared" si="91"/>
        <v>0</v>
      </c>
      <c r="AT66" s="516">
        <f t="shared" si="92"/>
        <v>784300540</v>
      </c>
      <c r="AU66" s="548">
        <f t="shared" si="93"/>
        <v>784300540</v>
      </c>
      <c r="AV66" s="515">
        <v>0</v>
      </c>
      <c r="AW66" s="516">
        <v>0</v>
      </c>
      <c r="AX66" s="516">
        <v>0</v>
      </c>
      <c r="AY66" s="516">
        <v>0</v>
      </c>
      <c r="AZ66" s="516">
        <v>0</v>
      </c>
      <c r="BA66" s="516"/>
      <c r="BB66" s="521">
        <v>0</v>
      </c>
      <c r="BC66" s="516">
        <v>0</v>
      </c>
      <c r="BD66" s="516">
        <v>0</v>
      </c>
      <c r="BE66" s="516">
        <v>0</v>
      </c>
      <c r="BF66" s="516">
        <v>0</v>
      </c>
      <c r="BG66" s="516">
        <v>784300540</v>
      </c>
      <c r="BH66" s="517">
        <f t="shared" si="94"/>
        <v>784300540</v>
      </c>
      <c r="BI66" s="538">
        <f t="shared" si="95"/>
        <v>0</v>
      </c>
      <c r="BJ66" s="539">
        <f t="shared" si="96"/>
        <v>515699460</v>
      </c>
      <c r="BK66" s="520">
        <f t="shared" si="97"/>
        <v>0</v>
      </c>
    </row>
    <row r="67" spans="1:63" ht="43.5" thickBot="1">
      <c r="A67" s="585" t="s">
        <v>169</v>
      </c>
      <c r="B67" s="446" t="s">
        <v>130</v>
      </c>
      <c r="C67" s="446" t="s">
        <v>180</v>
      </c>
      <c r="D67" s="446" t="s">
        <v>184</v>
      </c>
      <c r="E67" s="446" t="s">
        <v>256</v>
      </c>
      <c r="F67" s="523" t="s">
        <v>280</v>
      </c>
      <c r="G67" s="540" t="s">
        <v>258</v>
      </c>
      <c r="H67" s="525">
        <f t="shared" si="77"/>
        <v>20000000000</v>
      </c>
      <c r="I67" s="526">
        <v>0</v>
      </c>
      <c r="J67" s="526">
        <v>0</v>
      </c>
      <c r="K67" s="526">
        <v>0</v>
      </c>
      <c r="L67" s="526">
        <v>0</v>
      </c>
      <c r="M67" s="526">
        <v>0</v>
      </c>
      <c r="N67" s="527">
        <f t="shared" si="78"/>
        <v>20000000000</v>
      </c>
      <c r="O67" s="525">
        <v>20000000000</v>
      </c>
      <c r="P67" s="526">
        <v>0</v>
      </c>
      <c r="Q67" s="526">
        <v>0</v>
      </c>
      <c r="R67" s="526">
        <v>0</v>
      </c>
      <c r="S67" s="526">
        <v>0</v>
      </c>
      <c r="T67" s="526">
        <v>0</v>
      </c>
      <c r="U67" s="527">
        <f t="shared" si="79"/>
        <v>20000000000</v>
      </c>
      <c r="V67" s="526">
        <v>0</v>
      </c>
      <c r="W67" s="526">
        <v>0</v>
      </c>
      <c r="X67" s="526">
        <v>0</v>
      </c>
      <c r="Y67" s="526">
        <v>0</v>
      </c>
      <c r="Z67" s="526">
        <v>0</v>
      </c>
      <c r="AA67" s="526">
        <v>0</v>
      </c>
      <c r="AB67" s="528">
        <v>0</v>
      </c>
      <c r="AC67" s="526">
        <v>20000000000</v>
      </c>
      <c r="AD67" s="526">
        <v>0</v>
      </c>
      <c r="AE67" s="526">
        <v>0</v>
      </c>
      <c r="AF67" s="526">
        <v>0</v>
      </c>
      <c r="AG67" s="526">
        <v>0</v>
      </c>
      <c r="AH67" s="599">
        <f t="shared" si="80"/>
        <v>20000000000</v>
      </c>
      <c r="AI67" s="526">
        <f t="shared" si="81"/>
        <v>0</v>
      </c>
      <c r="AJ67" s="526">
        <f t="shared" si="82"/>
        <v>0</v>
      </c>
      <c r="AK67" s="526">
        <f t="shared" si="83"/>
        <v>0</v>
      </c>
      <c r="AL67" s="526">
        <f t="shared" si="84"/>
        <v>0</v>
      </c>
      <c r="AM67" s="526">
        <f t="shared" si="85"/>
        <v>0</v>
      </c>
      <c r="AN67" s="526">
        <f t="shared" si="86"/>
        <v>0</v>
      </c>
      <c r="AO67" s="525">
        <f t="shared" si="87"/>
        <v>0</v>
      </c>
      <c r="AP67" s="526">
        <f t="shared" si="88"/>
        <v>3983653904</v>
      </c>
      <c r="AQ67" s="526">
        <f t="shared" si="89"/>
        <v>5718756490</v>
      </c>
      <c r="AR67" s="526">
        <f t="shared" si="90"/>
        <v>4996999761</v>
      </c>
      <c r="AS67" s="526">
        <f t="shared" si="91"/>
        <v>3922656137</v>
      </c>
      <c r="AT67" s="526">
        <f t="shared" si="92"/>
        <v>1377924294</v>
      </c>
      <c r="AU67" s="549">
        <f t="shared" si="93"/>
        <v>19999990586</v>
      </c>
      <c r="AV67" s="525">
        <v>0</v>
      </c>
      <c r="AW67" s="526">
        <v>0</v>
      </c>
      <c r="AX67" s="526">
        <v>0</v>
      </c>
      <c r="AY67" s="526">
        <v>0</v>
      </c>
      <c r="AZ67" s="526">
        <v>0</v>
      </c>
      <c r="BA67" s="526">
        <v>0</v>
      </c>
      <c r="BB67" s="528">
        <v>0</v>
      </c>
      <c r="BC67" s="526">
        <v>3983653904</v>
      </c>
      <c r="BD67" s="526">
        <v>5718756490</v>
      </c>
      <c r="BE67" s="526">
        <f>4607399761+389600000</f>
        <v>4996999761</v>
      </c>
      <c r="BF67" s="526">
        <f>3533056137+389600000</f>
        <v>3922656137</v>
      </c>
      <c r="BG67" s="526">
        <f>145130000+843194294+389600000</f>
        <v>1377924294</v>
      </c>
      <c r="BH67" s="527">
        <f t="shared" si="94"/>
        <v>19999990586</v>
      </c>
      <c r="BI67" s="541">
        <f t="shared" si="95"/>
        <v>0</v>
      </c>
      <c r="BJ67" s="542">
        <f t="shared" si="96"/>
        <v>9414</v>
      </c>
      <c r="BK67" s="531">
        <f t="shared" si="97"/>
        <v>0</v>
      </c>
    </row>
    <row r="68" spans="1:63" ht="15">
      <c r="A68" s="448"/>
      <c r="B68" s="448"/>
      <c r="C68" s="448"/>
      <c r="D68" s="448"/>
      <c r="E68" s="448"/>
      <c r="F68" s="543"/>
      <c r="G68" s="544"/>
      <c r="H68" s="545"/>
      <c r="I68" s="545"/>
      <c r="J68" s="545"/>
      <c r="K68" s="545"/>
      <c r="L68" s="545"/>
      <c r="M68" s="545"/>
      <c r="N68" s="545"/>
      <c r="O68" s="545"/>
      <c r="P68" s="545"/>
      <c r="Q68" s="545"/>
      <c r="R68" s="545"/>
      <c r="S68" s="545"/>
      <c r="T68" s="545"/>
      <c r="U68" s="545"/>
      <c r="V68" s="545"/>
      <c r="W68" s="545"/>
      <c r="X68" s="545"/>
      <c r="Y68" s="545"/>
      <c r="Z68" s="545"/>
      <c r="AA68" s="545"/>
      <c r="AB68" s="546"/>
      <c r="AC68" s="545"/>
      <c r="AD68" s="545"/>
      <c r="AE68" s="545"/>
      <c r="AF68" s="545"/>
      <c r="AG68" s="545"/>
      <c r="AH68" s="547"/>
      <c r="AI68" s="545"/>
      <c r="AJ68" s="545"/>
      <c r="AK68" s="545"/>
      <c r="AL68" s="545"/>
      <c r="AM68" s="545"/>
      <c r="AN68" s="545"/>
      <c r="AO68" s="546"/>
      <c r="AP68" s="545"/>
      <c r="AQ68" s="545"/>
      <c r="AR68" s="545">
        <f t="shared" si="90"/>
        <v>0</v>
      </c>
      <c r="AS68" s="545"/>
      <c r="AT68" s="545"/>
      <c r="AU68" s="547"/>
      <c r="AV68" s="545"/>
      <c r="AW68" s="545"/>
      <c r="AX68" s="545"/>
      <c r="AY68" s="545"/>
      <c r="AZ68" s="545"/>
      <c r="BA68" s="545"/>
      <c r="BB68" s="546"/>
      <c r="BC68" s="545"/>
      <c r="BD68" s="545"/>
      <c r="BE68" s="545"/>
      <c r="BF68" s="545"/>
      <c r="BG68" s="545"/>
      <c r="BH68" s="547"/>
      <c r="BI68" s="545"/>
      <c r="BJ68" s="545"/>
      <c r="BK68" s="545"/>
    </row>
    <row r="69" spans="1:63" ht="15">
      <c r="A69" s="450" t="s">
        <v>199</v>
      </c>
      <c r="B69" s="450"/>
      <c r="C69" s="450"/>
      <c r="D69" s="450"/>
      <c r="E69" s="450"/>
      <c r="F69" s="550"/>
      <c r="G69" s="551"/>
      <c r="H69" s="552"/>
      <c r="I69" s="552"/>
      <c r="J69" s="552"/>
      <c r="K69" s="552"/>
      <c r="L69" s="552"/>
      <c r="M69" s="552"/>
      <c r="N69" s="552"/>
      <c r="O69" s="552"/>
      <c r="P69" s="552"/>
      <c r="Q69" s="552"/>
      <c r="R69" s="552"/>
      <c r="S69" s="552"/>
      <c r="T69" s="552"/>
      <c r="U69" s="552"/>
      <c r="V69" s="552"/>
      <c r="W69" s="552"/>
      <c r="X69" s="552"/>
      <c r="Y69" s="552"/>
      <c r="Z69" s="552"/>
      <c r="AA69" s="552"/>
      <c r="AB69" s="553"/>
      <c r="AC69" s="552"/>
      <c r="AD69" s="552"/>
      <c r="AE69" s="552"/>
      <c r="AF69" s="552"/>
      <c r="AG69" s="552"/>
      <c r="AH69" s="552"/>
      <c r="AI69" s="552"/>
      <c r="AJ69" s="552"/>
      <c r="AK69" s="552"/>
      <c r="AL69" s="552"/>
      <c r="AM69" s="552"/>
      <c r="AN69" s="552"/>
      <c r="AO69" s="553"/>
      <c r="AP69" s="552"/>
      <c r="AQ69" s="552"/>
      <c r="AR69" s="552"/>
      <c r="AS69" s="552"/>
      <c r="AT69" s="552"/>
      <c r="AU69" s="552"/>
      <c r="AV69" s="552"/>
      <c r="AW69" s="552"/>
      <c r="AX69" s="552"/>
      <c r="AY69" s="552"/>
      <c r="AZ69" s="552"/>
      <c r="BA69" s="552"/>
      <c r="BB69" s="553"/>
      <c r="BC69" s="552"/>
      <c r="BD69" s="552"/>
      <c r="BE69" s="552"/>
      <c r="BF69" s="552"/>
      <c r="BG69" s="552"/>
      <c r="BH69" s="552"/>
      <c r="BI69" s="552"/>
      <c r="BJ69" s="552"/>
      <c r="BK69" s="552"/>
    </row>
    <row r="70" spans="1:63" ht="15.75" thickBot="1">
      <c r="A70" s="448"/>
      <c r="B70" s="448"/>
      <c r="C70" s="448"/>
      <c r="D70" s="448"/>
      <c r="E70" s="448"/>
      <c r="F70" s="543"/>
      <c r="G70" s="544"/>
      <c r="H70" s="545"/>
      <c r="I70" s="545"/>
      <c r="J70" s="545"/>
      <c r="K70" s="545"/>
      <c r="L70" s="545"/>
      <c r="M70" s="545"/>
      <c r="N70" s="545"/>
      <c r="O70" s="545"/>
      <c r="P70" s="545"/>
      <c r="Q70" s="545"/>
      <c r="R70" s="545"/>
      <c r="S70" s="545"/>
      <c r="T70" s="545"/>
      <c r="U70" s="545"/>
      <c r="V70" s="545"/>
      <c r="W70" s="545"/>
      <c r="X70" s="545"/>
      <c r="Y70" s="545"/>
      <c r="Z70" s="545"/>
      <c r="AA70" s="545"/>
      <c r="AB70" s="546"/>
      <c r="AC70" s="545"/>
      <c r="AD70" s="545"/>
      <c r="AE70" s="545"/>
      <c r="AF70" s="545"/>
      <c r="AG70" s="545"/>
      <c r="AH70" s="547"/>
      <c r="AI70" s="545"/>
      <c r="AJ70" s="545"/>
      <c r="AK70" s="545"/>
      <c r="AL70" s="545"/>
      <c r="AM70" s="545"/>
      <c r="AN70" s="545"/>
      <c r="AO70" s="546"/>
      <c r="AP70" s="545"/>
      <c r="AQ70" s="545"/>
      <c r="AR70" s="545"/>
      <c r="AS70" s="545"/>
      <c r="AT70" s="545"/>
      <c r="AU70" s="547"/>
      <c r="AV70" s="545"/>
      <c r="AW70" s="545"/>
      <c r="AX70" s="545"/>
      <c r="AY70" s="545"/>
      <c r="AZ70" s="545"/>
      <c r="BA70" s="545"/>
      <c r="BB70" s="546"/>
      <c r="BC70" s="545"/>
      <c r="BD70" s="545"/>
      <c r="BE70" s="545"/>
      <c r="BF70" s="545"/>
      <c r="BG70" s="545"/>
      <c r="BH70" s="547"/>
      <c r="BI70" s="545"/>
      <c r="BJ70" s="545"/>
      <c r="BK70" s="545"/>
    </row>
    <row r="71" spans="1:63" ht="15">
      <c r="A71" s="451"/>
      <c r="B71" s="451"/>
      <c r="C71" s="451"/>
      <c r="D71" s="451"/>
      <c r="E71" s="451"/>
      <c r="F71" s="554"/>
      <c r="G71" s="555" t="s">
        <v>200</v>
      </c>
      <c r="H71" s="556">
        <f aca="true" t="shared" si="98" ref="H71:AM71">H10+H43</f>
        <v>133031846845</v>
      </c>
      <c r="I71" s="557">
        <f t="shared" si="98"/>
        <v>-354546515</v>
      </c>
      <c r="J71" s="557">
        <f t="shared" si="98"/>
        <v>354546515</v>
      </c>
      <c r="K71" s="557">
        <f t="shared" si="98"/>
        <v>0</v>
      </c>
      <c r="L71" s="557">
        <f t="shared" si="98"/>
        <v>-18581820</v>
      </c>
      <c r="M71" s="557">
        <f t="shared" si="98"/>
        <v>132000000</v>
      </c>
      <c r="N71" s="558">
        <f t="shared" si="98"/>
        <v>133145265025</v>
      </c>
      <c r="O71" s="556">
        <f t="shared" si="98"/>
        <v>131271446845</v>
      </c>
      <c r="P71" s="557">
        <f t="shared" si="98"/>
        <v>-1282571862</v>
      </c>
      <c r="Q71" s="557">
        <f t="shared" si="98"/>
        <v>1282571862</v>
      </c>
      <c r="R71" s="557">
        <f t="shared" si="98"/>
        <v>0</v>
      </c>
      <c r="S71" s="557">
        <f t="shared" si="98"/>
        <v>-18581820</v>
      </c>
      <c r="T71" s="557">
        <f t="shared" si="98"/>
        <v>1892400000</v>
      </c>
      <c r="U71" s="558">
        <f t="shared" si="98"/>
        <v>133145265025</v>
      </c>
      <c r="V71" s="556">
        <f t="shared" si="98"/>
        <v>116873642220</v>
      </c>
      <c r="W71" s="557">
        <f t="shared" si="98"/>
        <v>899050539</v>
      </c>
      <c r="X71" s="557">
        <f t="shared" si="98"/>
        <v>1263923053</v>
      </c>
      <c r="Y71" s="557">
        <f t="shared" si="98"/>
        <v>1216533058</v>
      </c>
      <c r="Z71" s="557">
        <f t="shared" si="98"/>
        <v>1013670986</v>
      </c>
      <c r="AA71" s="557">
        <f t="shared" si="98"/>
        <v>1882143676</v>
      </c>
      <c r="AB71" s="559">
        <f t="shared" si="98"/>
        <v>1195845544</v>
      </c>
      <c r="AC71" s="557">
        <f t="shared" si="98"/>
        <v>834076678</v>
      </c>
      <c r="AD71" s="557">
        <f t="shared" si="98"/>
        <v>1498345325</v>
      </c>
      <c r="AE71" s="557">
        <f t="shared" si="98"/>
        <v>889279327</v>
      </c>
      <c r="AF71" s="557">
        <f t="shared" si="98"/>
        <v>1217406659</v>
      </c>
      <c r="AG71" s="557">
        <f t="shared" si="98"/>
        <v>3407172288</v>
      </c>
      <c r="AH71" s="558">
        <f t="shared" si="98"/>
        <v>132191089353</v>
      </c>
      <c r="AI71" s="556">
        <f t="shared" si="98"/>
        <v>1010738182</v>
      </c>
      <c r="AJ71" s="557">
        <f t="shared" si="98"/>
        <v>10309101193</v>
      </c>
      <c r="AK71" s="557">
        <f t="shared" si="98"/>
        <v>11543455051</v>
      </c>
      <c r="AL71" s="557">
        <f t="shared" si="98"/>
        <v>6092561767</v>
      </c>
      <c r="AM71" s="557">
        <f t="shared" si="98"/>
        <v>12936862358</v>
      </c>
      <c r="AN71" s="557">
        <f aca="true" t="shared" si="99" ref="AN71:BK71">AN10+AN43</f>
        <v>8726690623</v>
      </c>
      <c r="AO71" s="559">
        <f t="shared" si="99"/>
        <v>14867677710</v>
      </c>
      <c r="AP71" s="557">
        <f t="shared" si="99"/>
        <v>6135925561</v>
      </c>
      <c r="AQ71" s="557">
        <f t="shared" si="99"/>
        <v>14093207615</v>
      </c>
      <c r="AR71" s="557">
        <f t="shared" si="99"/>
        <v>9939508211</v>
      </c>
      <c r="AS71" s="557">
        <f t="shared" si="99"/>
        <v>7032184998</v>
      </c>
      <c r="AT71" s="557">
        <f t="shared" si="99"/>
        <v>12410673589</v>
      </c>
      <c r="AU71" s="558">
        <f t="shared" si="99"/>
        <v>115098586858</v>
      </c>
      <c r="AV71" s="557">
        <f t="shared" si="99"/>
        <v>1010738182</v>
      </c>
      <c r="AW71" s="557">
        <f t="shared" si="99"/>
        <v>10309101193</v>
      </c>
      <c r="AX71" s="557">
        <f t="shared" si="99"/>
        <v>11543455051</v>
      </c>
      <c r="AY71" s="557">
        <f t="shared" si="99"/>
        <v>6092561767</v>
      </c>
      <c r="AZ71" s="557">
        <f t="shared" si="99"/>
        <v>12936862358</v>
      </c>
      <c r="BA71" s="557">
        <f t="shared" si="99"/>
        <v>8726690623</v>
      </c>
      <c r="BB71" s="559">
        <f t="shared" si="99"/>
        <v>14867677710</v>
      </c>
      <c r="BC71" s="557">
        <f t="shared" si="99"/>
        <v>6135925561</v>
      </c>
      <c r="BD71" s="557">
        <f t="shared" si="99"/>
        <v>14093207615</v>
      </c>
      <c r="BE71" s="557">
        <f t="shared" si="99"/>
        <v>9939508211</v>
      </c>
      <c r="BF71" s="557">
        <f t="shared" si="99"/>
        <v>7032184998</v>
      </c>
      <c r="BG71" s="557">
        <f t="shared" si="99"/>
        <v>12410673589</v>
      </c>
      <c r="BH71" s="557">
        <f t="shared" si="99"/>
        <v>115098586858</v>
      </c>
      <c r="BI71" s="556">
        <f t="shared" si="99"/>
        <v>954175672</v>
      </c>
      <c r="BJ71" s="560">
        <f t="shared" si="99"/>
        <v>17092502495</v>
      </c>
      <c r="BK71" s="558">
        <f t="shared" si="99"/>
        <v>0</v>
      </c>
    </row>
    <row r="72" spans="1:63" ht="15.75" thickBot="1">
      <c r="A72" s="451"/>
      <c r="B72" s="451"/>
      <c r="C72" s="451"/>
      <c r="D72" s="451"/>
      <c r="E72" s="451"/>
      <c r="F72" s="554"/>
      <c r="G72" s="561" t="s">
        <v>201</v>
      </c>
      <c r="H72" s="562">
        <f aca="true" t="shared" si="100" ref="H72:AI72">H57</f>
        <v>32419000000</v>
      </c>
      <c r="I72" s="563">
        <f t="shared" si="100"/>
        <v>-300000000</v>
      </c>
      <c r="J72" s="563">
        <f t="shared" si="100"/>
        <v>300000000</v>
      </c>
      <c r="K72" s="563">
        <f t="shared" si="100"/>
        <v>0</v>
      </c>
      <c r="L72" s="563">
        <f t="shared" si="100"/>
        <v>-1800000000</v>
      </c>
      <c r="M72" s="563">
        <f t="shared" si="100"/>
        <v>2500000000</v>
      </c>
      <c r="N72" s="564">
        <f t="shared" si="100"/>
        <v>33119000000</v>
      </c>
      <c r="O72" s="562">
        <f t="shared" si="100"/>
        <v>32419000000</v>
      </c>
      <c r="P72" s="563">
        <f t="shared" si="100"/>
        <v>-300000000</v>
      </c>
      <c r="Q72" s="563">
        <f t="shared" si="100"/>
        <v>300000000</v>
      </c>
      <c r="R72" s="563">
        <f t="shared" si="100"/>
        <v>0</v>
      </c>
      <c r="S72" s="563">
        <f t="shared" si="100"/>
        <v>-1800000000</v>
      </c>
      <c r="T72" s="563">
        <f t="shared" si="100"/>
        <v>2500000000</v>
      </c>
      <c r="U72" s="564">
        <f t="shared" si="100"/>
        <v>33119000000</v>
      </c>
      <c r="V72" s="562">
        <f t="shared" si="100"/>
        <v>11819000000</v>
      </c>
      <c r="W72" s="563">
        <f t="shared" si="100"/>
        <v>0</v>
      </c>
      <c r="X72" s="563">
        <f t="shared" si="100"/>
        <v>0</v>
      </c>
      <c r="Y72" s="563">
        <f t="shared" si="100"/>
        <v>0</v>
      </c>
      <c r="Z72" s="563">
        <f t="shared" si="100"/>
        <v>0</v>
      </c>
      <c r="AA72" s="563">
        <f t="shared" si="100"/>
        <v>0</v>
      </c>
      <c r="AB72" s="565">
        <f t="shared" si="100"/>
        <v>0</v>
      </c>
      <c r="AC72" s="563">
        <f t="shared" si="100"/>
        <v>20000000000</v>
      </c>
      <c r="AD72" s="563">
        <f t="shared" si="100"/>
        <v>0</v>
      </c>
      <c r="AE72" s="563">
        <f t="shared" si="100"/>
        <v>0</v>
      </c>
      <c r="AF72" s="563">
        <f t="shared" si="100"/>
        <v>0</v>
      </c>
      <c r="AG72" s="563">
        <f t="shared" si="100"/>
        <v>1300000000</v>
      </c>
      <c r="AH72" s="564">
        <f t="shared" si="100"/>
        <v>33119000000</v>
      </c>
      <c r="AI72" s="562">
        <f t="shared" si="100"/>
        <v>0</v>
      </c>
      <c r="AJ72" s="563">
        <f aca="true" t="shared" si="101" ref="AJ72:AT72">AJ57</f>
        <v>280417668</v>
      </c>
      <c r="AK72" s="563">
        <f t="shared" si="101"/>
        <v>1310078165</v>
      </c>
      <c r="AL72" s="563">
        <f t="shared" si="101"/>
        <v>729310759</v>
      </c>
      <c r="AM72" s="563">
        <f t="shared" si="101"/>
        <v>510067936</v>
      </c>
      <c r="AN72" s="563">
        <f t="shared" si="101"/>
        <v>875085800</v>
      </c>
      <c r="AO72" s="565">
        <f t="shared" si="101"/>
        <v>596148998</v>
      </c>
      <c r="AP72" s="563">
        <f t="shared" si="101"/>
        <v>4006265304</v>
      </c>
      <c r="AQ72" s="563">
        <f t="shared" si="101"/>
        <v>5772765829</v>
      </c>
      <c r="AR72" s="563">
        <f t="shared" si="101"/>
        <v>4996999761</v>
      </c>
      <c r="AS72" s="563">
        <f t="shared" si="101"/>
        <v>4231047411</v>
      </c>
      <c r="AT72" s="563">
        <f t="shared" si="101"/>
        <v>5890593657</v>
      </c>
      <c r="AU72" s="564">
        <f aca="true" t="shared" si="102" ref="AU72:BK72">AU57</f>
        <v>29198781288</v>
      </c>
      <c r="AV72" s="563">
        <f t="shared" si="102"/>
        <v>0</v>
      </c>
      <c r="AW72" s="563">
        <f t="shared" si="102"/>
        <v>280417668</v>
      </c>
      <c r="AX72" s="563">
        <f t="shared" si="102"/>
        <v>1310078165</v>
      </c>
      <c r="AY72" s="563">
        <f t="shared" si="102"/>
        <v>729310759</v>
      </c>
      <c r="AZ72" s="563">
        <f t="shared" si="102"/>
        <v>510067936</v>
      </c>
      <c r="BA72" s="563">
        <f t="shared" si="102"/>
        <v>875085800</v>
      </c>
      <c r="BB72" s="565">
        <f t="shared" si="102"/>
        <v>596148998</v>
      </c>
      <c r="BC72" s="563">
        <f t="shared" si="102"/>
        <v>4006265304</v>
      </c>
      <c r="BD72" s="563">
        <f t="shared" si="102"/>
        <v>5772765829</v>
      </c>
      <c r="BE72" s="563">
        <f t="shared" si="102"/>
        <v>4996999761</v>
      </c>
      <c r="BF72" s="563">
        <f t="shared" si="102"/>
        <v>4231047411</v>
      </c>
      <c r="BG72" s="563">
        <f t="shared" si="102"/>
        <v>5890593657</v>
      </c>
      <c r="BH72" s="563">
        <f t="shared" si="102"/>
        <v>29198781288</v>
      </c>
      <c r="BI72" s="562">
        <f t="shared" si="102"/>
        <v>0</v>
      </c>
      <c r="BJ72" s="566">
        <f>BJ57</f>
        <v>3920218712</v>
      </c>
      <c r="BK72" s="564">
        <f t="shared" si="102"/>
        <v>0</v>
      </c>
    </row>
    <row r="73" spans="1:63" ht="15.75" thickBot="1">
      <c r="A73" s="448"/>
      <c r="B73" s="448"/>
      <c r="C73" s="448"/>
      <c r="D73" s="448"/>
      <c r="E73" s="448"/>
      <c r="F73" s="543"/>
      <c r="G73" s="544"/>
      <c r="H73" s="545"/>
      <c r="I73" s="545"/>
      <c r="J73" s="545"/>
      <c r="K73" s="545"/>
      <c r="L73" s="545"/>
      <c r="M73" s="545"/>
      <c r="N73" s="545"/>
      <c r="O73" s="545"/>
      <c r="P73" s="545"/>
      <c r="Q73" s="545"/>
      <c r="R73" s="545"/>
      <c r="S73" s="545"/>
      <c r="T73" s="545"/>
      <c r="U73" s="545"/>
      <c r="V73" s="545"/>
      <c r="W73" s="545"/>
      <c r="X73" s="545"/>
      <c r="Y73" s="545"/>
      <c r="Z73" s="545"/>
      <c r="AA73" s="545"/>
      <c r="AB73" s="546"/>
      <c r="AC73" s="545"/>
      <c r="AD73" s="545"/>
      <c r="AE73" s="545"/>
      <c r="AF73" s="545"/>
      <c r="AG73" s="545"/>
      <c r="AH73" s="547"/>
      <c r="AI73" s="545"/>
      <c r="AJ73" s="545"/>
      <c r="AK73" s="545"/>
      <c r="AL73" s="545"/>
      <c r="AM73" s="545"/>
      <c r="AN73" s="545"/>
      <c r="AO73" s="546"/>
      <c r="AP73" s="545"/>
      <c r="AQ73" s="545"/>
      <c r="AR73" s="545"/>
      <c r="AS73" s="545"/>
      <c r="AT73" s="545"/>
      <c r="AU73" s="547"/>
      <c r="AV73" s="545"/>
      <c r="AW73" s="545"/>
      <c r="AX73" s="545"/>
      <c r="AY73" s="545"/>
      <c r="AZ73" s="545"/>
      <c r="BA73" s="545"/>
      <c r="BB73" s="546"/>
      <c r="BC73" s="545"/>
      <c r="BD73" s="545"/>
      <c r="BE73" s="545"/>
      <c r="BF73" s="545"/>
      <c r="BG73" s="545"/>
      <c r="BH73" s="547"/>
      <c r="BI73" s="545"/>
      <c r="BJ73" s="545"/>
      <c r="BK73" s="545"/>
    </row>
    <row r="74" spans="1:63" ht="15">
      <c r="A74" s="451"/>
      <c r="B74" s="451"/>
      <c r="C74" s="451"/>
      <c r="D74" s="451"/>
      <c r="E74" s="451"/>
      <c r="F74" s="554"/>
      <c r="G74" s="567" t="s">
        <v>129</v>
      </c>
      <c r="H74" s="568">
        <f aca="true" t="shared" si="103" ref="H74:AI74">H10</f>
        <v>15892732505</v>
      </c>
      <c r="I74" s="569">
        <f t="shared" si="103"/>
        <v>-354546515</v>
      </c>
      <c r="J74" s="569">
        <f t="shared" si="103"/>
        <v>354546515</v>
      </c>
      <c r="K74" s="569">
        <f t="shared" si="103"/>
        <v>0</v>
      </c>
      <c r="L74" s="569">
        <f t="shared" si="103"/>
        <v>0</v>
      </c>
      <c r="M74" s="569">
        <f t="shared" si="103"/>
        <v>132000000</v>
      </c>
      <c r="N74" s="570">
        <f t="shared" si="103"/>
        <v>16024732505</v>
      </c>
      <c r="O74" s="568">
        <f t="shared" si="103"/>
        <v>14132332505</v>
      </c>
      <c r="P74" s="569">
        <f t="shared" si="103"/>
        <v>-1282571862</v>
      </c>
      <c r="Q74" s="569">
        <f t="shared" si="103"/>
        <v>1282571862</v>
      </c>
      <c r="R74" s="569">
        <f t="shared" si="103"/>
        <v>0</v>
      </c>
      <c r="S74" s="569">
        <f t="shared" si="103"/>
        <v>0</v>
      </c>
      <c r="T74" s="569">
        <f t="shared" si="103"/>
        <v>1892400000</v>
      </c>
      <c r="U74" s="570">
        <f t="shared" si="103"/>
        <v>16024732505</v>
      </c>
      <c r="V74" s="568">
        <f t="shared" si="103"/>
        <v>934527880</v>
      </c>
      <c r="W74" s="569">
        <f t="shared" si="103"/>
        <v>899050539</v>
      </c>
      <c r="X74" s="569">
        <f t="shared" si="103"/>
        <v>1263923053</v>
      </c>
      <c r="Y74" s="569">
        <f t="shared" si="103"/>
        <v>1216533058</v>
      </c>
      <c r="Z74" s="569">
        <f t="shared" si="103"/>
        <v>1013670986</v>
      </c>
      <c r="AA74" s="569">
        <f t="shared" si="103"/>
        <v>1431585124</v>
      </c>
      <c r="AB74" s="571">
        <f t="shared" si="103"/>
        <v>1137613133</v>
      </c>
      <c r="AC74" s="569">
        <f t="shared" si="103"/>
        <v>783502428</v>
      </c>
      <c r="AD74" s="569">
        <f t="shared" si="103"/>
        <v>882866020</v>
      </c>
      <c r="AE74" s="569">
        <f t="shared" si="103"/>
        <v>882709677</v>
      </c>
      <c r="AF74" s="569">
        <f t="shared" si="103"/>
        <v>1217406659</v>
      </c>
      <c r="AG74" s="569">
        <f t="shared" si="103"/>
        <v>3947610674</v>
      </c>
      <c r="AH74" s="570">
        <f t="shared" si="103"/>
        <v>15610999231</v>
      </c>
      <c r="AI74" s="568">
        <f t="shared" si="103"/>
        <v>491578023</v>
      </c>
      <c r="AJ74" s="569">
        <f aca="true" t="shared" si="104" ref="AJ74:AT74">AJ10</f>
        <v>857970866</v>
      </c>
      <c r="AK74" s="569">
        <f t="shared" si="104"/>
        <v>896496367</v>
      </c>
      <c r="AL74" s="569">
        <f t="shared" si="104"/>
        <v>973624215</v>
      </c>
      <c r="AM74" s="569">
        <f t="shared" si="104"/>
        <v>1023995970</v>
      </c>
      <c r="AN74" s="569">
        <f t="shared" si="104"/>
        <v>1435835071</v>
      </c>
      <c r="AO74" s="571">
        <f t="shared" si="104"/>
        <v>1250534066</v>
      </c>
      <c r="AP74" s="569">
        <f t="shared" si="104"/>
        <v>875461815</v>
      </c>
      <c r="AQ74" s="569">
        <f t="shared" si="104"/>
        <v>983631273</v>
      </c>
      <c r="AR74" s="569">
        <f t="shared" si="104"/>
        <v>1034097494</v>
      </c>
      <c r="AS74" s="569">
        <f t="shared" si="104"/>
        <v>1417568763</v>
      </c>
      <c r="AT74" s="569">
        <f t="shared" si="104"/>
        <v>2788558390</v>
      </c>
      <c r="AU74" s="570">
        <f aca="true" t="shared" si="105" ref="AU74:BK74">AU10</f>
        <v>14029352313</v>
      </c>
      <c r="AV74" s="568">
        <f t="shared" si="105"/>
        <v>491578023</v>
      </c>
      <c r="AW74" s="569">
        <f t="shared" si="105"/>
        <v>857970866</v>
      </c>
      <c r="AX74" s="569">
        <f t="shared" si="105"/>
        <v>896496367</v>
      </c>
      <c r="AY74" s="569">
        <f t="shared" si="105"/>
        <v>973624215</v>
      </c>
      <c r="AZ74" s="569">
        <f t="shared" si="105"/>
        <v>1023995970</v>
      </c>
      <c r="BA74" s="569">
        <f t="shared" si="105"/>
        <v>1435835071</v>
      </c>
      <c r="BB74" s="571">
        <f t="shared" si="105"/>
        <v>1250534066</v>
      </c>
      <c r="BC74" s="569">
        <f t="shared" si="105"/>
        <v>875461815</v>
      </c>
      <c r="BD74" s="569">
        <f t="shared" si="105"/>
        <v>983631273</v>
      </c>
      <c r="BE74" s="569">
        <f t="shared" si="105"/>
        <v>1034097494</v>
      </c>
      <c r="BF74" s="569">
        <f t="shared" si="105"/>
        <v>1417568763</v>
      </c>
      <c r="BG74" s="569">
        <f t="shared" si="105"/>
        <v>2788558390</v>
      </c>
      <c r="BH74" s="570">
        <f t="shared" si="105"/>
        <v>14029352313</v>
      </c>
      <c r="BI74" s="568">
        <f t="shared" si="105"/>
        <v>413733274</v>
      </c>
      <c r="BJ74" s="572">
        <f>BJ10</f>
        <v>1581646918</v>
      </c>
      <c r="BK74" s="570">
        <f t="shared" si="105"/>
        <v>0</v>
      </c>
    </row>
    <row r="75" spans="1:63" ht="15.75" thickBot="1">
      <c r="A75" s="451"/>
      <c r="B75" s="451"/>
      <c r="C75" s="451"/>
      <c r="D75" s="451"/>
      <c r="E75" s="451"/>
      <c r="F75" s="554"/>
      <c r="G75" s="573" t="s">
        <v>170</v>
      </c>
      <c r="H75" s="574">
        <f aca="true" t="shared" si="106" ref="H75:AI75">H39</f>
        <v>149558114340</v>
      </c>
      <c r="I75" s="575">
        <f t="shared" si="106"/>
        <v>-300000000</v>
      </c>
      <c r="J75" s="575">
        <f t="shared" si="106"/>
        <v>300000000</v>
      </c>
      <c r="K75" s="575">
        <f t="shared" si="106"/>
        <v>0</v>
      </c>
      <c r="L75" s="575">
        <f>L39</f>
        <v>-1818581820</v>
      </c>
      <c r="M75" s="575">
        <f t="shared" si="106"/>
        <v>2500000000</v>
      </c>
      <c r="N75" s="576">
        <f t="shared" si="106"/>
        <v>150239532520</v>
      </c>
      <c r="O75" s="574">
        <f t="shared" si="106"/>
        <v>149558114340</v>
      </c>
      <c r="P75" s="575">
        <f t="shared" si="106"/>
        <v>-300000000</v>
      </c>
      <c r="Q75" s="575">
        <f t="shared" si="106"/>
        <v>300000000</v>
      </c>
      <c r="R75" s="575">
        <f t="shared" si="106"/>
        <v>0</v>
      </c>
      <c r="S75" s="575">
        <f t="shared" si="106"/>
        <v>-1818581820</v>
      </c>
      <c r="T75" s="575">
        <f t="shared" si="106"/>
        <v>2500000000</v>
      </c>
      <c r="U75" s="576">
        <f t="shared" si="106"/>
        <v>150239532520</v>
      </c>
      <c r="V75" s="574">
        <f t="shared" si="106"/>
        <v>127758114340</v>
      </c>
      <c r="W75" s="575">
        <f t="shared" si="106"/>
        <v>0</v>
      </c>
      <c r="X75" s="575">
        <f t="shared" si="106"/>
        <v>0</v>
      </c>
      <c r="Y75" s="575">
        <f t="shared" si="106"/>
        <v>0</v>
      </c>
      <c r="Z75" s="575">
        <f t="shared" si="106"/>
        <v>0</v>
      </c>
      <c r="AA75" s="575">
        <f t="shared" si="106"/>
        <v>450558552</v>
      </c>
      <c r="AB75" s="577">
        <f t="shared" si="106"/>
        <v>58232411</v>
      </c>
      <c r="AC75" s="575">
        <f t="shared" si="106"/>
        <v>20050574250</v>
      </c>
      <c r="AD75" s="575">
        <f t="shared" si="106"/>
        <v>615479305</v>
      </c>
      <c r="AE75" s="575">
        <f t="shared" si="106"/>
        <v>6569650</v>
      </c>
      <c r="AF75" s="575">
        <f t="shared" si="106"/>
        <v>0</v>
      </c>
      <c r="AG75" s="575">
        <f t="shared" si="106"/>
        <v>759561614</v>
      </c>
      <c r="AH75" s="576">
        <f t="shared" si="106"/>
        <v>149699090122</v>
      </c>
      <c r="AI75" s="574">
        <f t="shared" si="106"/>
        <v>519160159</v>
      </c>
      <c r="AJ75" s="575">
        <f aca="true" t="shared" si="107" ref="AJ75:AT75">AJ39</f>
        <v>9731547995</v>
      </c>
      <c r="AK75" s="575">
        <f t="shared" si="107"/>
        <v>11957036849</v>
      </c>
      <c r="AL75" s="575">
        <f t="shared" si="107"/>
        <v>5848248311</v>
      </c>
      <c r="AM75" s="575">
        <f t="shared" si="107"/>
        <v>12422934324</v>
      </c>
      <c r="AN75" s="575">
        <f t="shared" si="107"/>
        <v>8165941352</v>
      </c>
      <c r="AO75" s="577">
        <f t="shared" si="107"/>
        <v>14213292642</v>
      </c>
      <c r="AP75" s="575">
        <f t="shared" si="107"/>
        <v>9266729050</v>
      </c>
      <c r="AQ75" s="575">
        <f t="shared" si="107"/>
        <v>18882342171</v>
      </c>
      <c r="AR75" s="575">
        <f t="shared" si="107"/>
        <v>13902410478</v>
      </c>
      <c r="AS75" s="575">
        <f t="shared" si="107"/>
        <v>9845663646</v>
      </c>
      <c r="AT75" s="575">
        <f t="shared" si="107"/>
        <v>15512708856</v>
      </c>
      <c r="AU75" s="576">
        <f aca="true" t="shared" si="108" ref="AU75:BK75">AU39</f>
        <v>130268015833</v>
      </c>
      <c r="AV75" s="574">
        <f t="shared" si="108"/>
        <v>519160159</v>
      </c>
      <c r="AW75" s="575">
        <f t="shared" si="108"/>
        <v>9731547995</v>
      </c>
      <c r="AX75" s="575">
        <f t="shared" si="108"/>
        <v>11957036849</v>
      </c>
      <c r="AY75" s="575">
        <f t="shared" si="108"/>
        <v>5848248311</v>
      </c>
      <c r="AZ75" s="575">
        <f t="shared" si="108"/>
        <v>12422934324</v>
      </c>
      <c r="BA75" s="575">
        <f t="shared" si="108"/>
        <v>8165941352</v>
      </c>
      <c r="BB75" s="577">
        <f t="shared" si="108"/>
        <v>14213292642</v>
      </c>
      <c r="BC75" s="575">
        <f t="shared" si="108"/>
        <v>9266729050</v>
      </c>
      <c r="BD75" s="575">
        <f t="shared" si="108"/>
        <v>18882342171</v>
      </c>
      <c r="BE75" s="575">
        <f t="shared" si="108"/>
        <v>13902410478</v>
      </c>
      <c r="BF75" s="575">
        <f t="shared" si="108"/>
        <v>9845663646</v>
      </c>
      <c r="BG75" s="575">
        <f t="shared" si="108"/>
        <v>15512708856</v>
      </c>
      <c r="BH75" s="576">
        <f t="shared" si="108"/>
        <v>130268015833</v>
      </c>
      <c r="BI75" s="574">
        <f t="shared" si="108"/>
        <v>540442398</v>
      </c>
      <c r="BJ75" s="578">
        <f>BJ39</f>
        <v>19431074289</v>
      </c>
      <c r="BK75" s="576">
        <f t="shared" si="108"/>
        <v>0</v>
      </c>
    </row>
    <row r="76" spans="1:63" ht="15.75" thickBot="1">
      <c r="A76" s="448"/>
      <c r="B76" s="448"/>
      <c r="C76" s="448"/>
      <c r="D76" s="448"/>
      <c r="E76" s="448"/>
      <c r="F76" s="543"/>
      <c r="G76" s="544"/>
      <c r="H76" s="545"/>
      <c r="I76" s="545"/>
      <c r="J76" s="545"/>
      <c r="K76" s="545"/>
      <c r="L76" s="545"/>
      <c r="M76" s="545"/>
      <c r="N76" s="545"/>
      <c r="O76" s="545"/>
      <c r="P76" s="545"/>
      <c r="Q76" s="545"/>
      <c r="R76" s="545"/>
      <c r="S76" s="545"/>
      <c r="T76" s="545"/>
      <c r="U76" s="545"/>
      <c r="V76" s="545"/>
      <c r="W76" s="545"/>
      <c r="X76" s="545"/>
      <c r="Y76" s="545"/>
      <c r="Z76" s="545"/>
      <c r="AA76" s="545"/>
      <c r="AB76" s="546"/>
      <c r="AC76" s="545"/>
      <c r="AD76" s="545"/>
      <c r="AE76" s="545"/>
      <c r="AF76" s="545"/>
      <c r="AG76" s="545"/>
      <c r="AH76" s="547"/>
      <c r="AI76" s="545"/>
      <c r="AJ76" s="545"/>
      <c r="AK76" s="545"/>
      <c r="AL76" s="545"/>
      <c r="AM76" s="545"/>
      <c r="AN76" s="545"/>
      <c r="AO76" s="546"/>
      <c r="AP76" s="545"/>
      <c r="AQ76" s="545"/>
      <c r="AR76" s="545"/>
      <c r="AS76" s="545"/>
      <c r="AT76" s="545"/>
      <c r="AU76" s="547"/>
      <c r="AV76" s="545"/>
      <c r="AW76" s="545"/>
      <c r="AX76" s="545"/>
      <c r="AY76" s="545"/>
      <c r="AZ76" s="545"/>
      <c r="BA76" s="545"/>
      <c r="BB76" s="546"/>
      <c r="BC76" s="545"/>
      <c r="BD76" s="545"/>
      <c r="BE76" s="545"/>
      <c r="BF76" s="545"/>
      <c r="BG76" s="545"/>
      <c r="BH76" s="547"/>
      <c r="BI76" s="545"/>
      <c r="BJ76" s="545"/>
      <c r="BK76" s="545"/>
    </row>
    <row r="77" spans="1:63" ht="15.75" thickBot="1">
      <c r="A77" s="451"/>
      <c r="B77" s="451"/>
      <c r="C77" s="451"/>
      <c r="D77" s="451"/>
      <c r="E77" s="451"/>
      <c r="F77" s="554"/>
      <c r="G77" s="579" t="s">
        <v>202</v>
      </c>
      <c r="H77" s="580">
        <f>SUM(H71:H75)/2</f>
        <v>165450846845</v>
      </c>
      <c r="I77" s="581">
        <f aca="true" t="shared" si="109" ref="I77:X77">SUM(I71:I75)/2</f>
        <v>-654546515</v>
      </c>
      <c r="J77" s="581">
        <f t="shared" si="109"/>
        <v>654546515</v>
      </c>
      <c r="K77" s="581">
        <f t="shared" si="109"/>
        <v>0</v>
      </c>
      <c r="L77" s="581">
        <f t="shared" si="109"/>
        <v>-1818581820</v>
      </c>
      <c r="M77" s="581">
        <f t="shared" si="109"/>
        <v>2632000000</v>
      </c>
      <c r="N77" s="582">
        <f t="shared" si="109"/>
        <v>166264265025</v>
      </c>
      <c r="O77" s="580">
        <f t="shared" si="109"/>
        <v>163690446845</v>
      </c>
      <c r="P77" s="581">
        <f t="shared" si="109"/>
        <v>-1582571862</v>
      </c>
      <c r="Q77" s="581">
        <f t="shared" si="109"/>
        <v>1582571862</v>
      </c>
      <c r="R77" s="581">
        <f t="shared" si="109"/>
        <v>0</v>
      </c>
      <c r="S77" s="581">
        <f t="shared" si="109"/>
        <v>-1818581820</v>
      </c>
      <c r="T77" s="581">
        <f t="shared" si="109"/>
        <v>4392400000</v>
      </c>
      <c r="U77" s="582">
        <f t="shared" si="109"/>
        <v>166264265025</v>
      </c>
      <c r="V77" s="580">
        <f t="shared" si="109"/>
        <v>128692642220</v>
      </c>
      <c r="W77" s="581">
        <f t="shared" si="109"/>
        <v>899050539</v>
      </c>
      <c r="X77" s="581">
        <f t="shared" si="109"/>
        <v>1263923053</v>
      </c>
      <c r="Y77" s="581">
        <f aca="true" t="shared" si="110" ref="Y77:AI77">SUM(Y71:Y75)/2</f>
        <v>1216533058</v>
      </c>
      <c r="Z77" s="581">
        <f t="shared" si="110"/>
        <v>1013670986</v>
      </c>
      <c r="AA77" s="581">
        <f t="shared" si="110"/>
        <v>1882143676</v>
      </c>
      <c r="AB77" s="583">
        <f t="shared" si="110"/>
        <v>1195845544</v>
      </c>
      <c r="AC77" s="581">
        <f t="shared" si="110"/>
        <v>20834076678</v>
      </c>
      <c r="AD77" s="581">
        <f t="shared" si="110"/>
        <v>1498345325</v>
      </c>
      <c r="AE77" s="581">
        <f t="shared" si="110"/>
        <v>889279327</v>
      </c>
      <c r="AF77" s="581">
        <f t="shared" si="110"/>
        <v>1217406659</v>
      </c>
      <c r="AG77" s="581">
        <f t="shared" si="110"/>
        <v>4707172288</v>
      </c>
      <c r="AH77" s="582">
        <f t="shared" si="110"/>
        <v>165310089353</v>
      </c>
      <c r="AI77" s="580">
        <f t="shared" si="110"/>
        <v>1010738182</v>
      </c>
      <c r="AJ77" s="581">
        <f aca="true" t="shared" si="111" ref="AJ77:AT77">SUM(AJ71:AJ75)/2</f>
        <v>10589518861</v>
      </c>
      <c r="AK77" s="581">
        <f t="shared" si="111"/>
        <v>12853533216</v>
      </c>
      <c r="AL77" s="581">
        <f t="shared" si="111"/>
        <v>6821872526</v>
      </c>
      <c r="AM77" s="581">
        <f t="shared" si="111"/>
        <v>13446930294</v>
      </c>
      <c r="AN77" s="581">
        <f t="shared" si="111"/>
        <v>9601776423</v>
      </c>
      <c r="AO77" s="583">
        <f t="shared" si="111"/>
        <v>15463826708</v>
      </c>
      <c r="AP77" s="581">
        <f t="shared" si="111"/>
        <v>10142190865</v>
      </c>
      <c r="AQ77" s="581">
        <f t="shared" si="111"/>
        <v>19865973444</v>
      </c>
      <c r="AR77" s="581">
        <f t="shared" si="111"/>
        <v>14936507972</v>
      </c>
      <c r="AS77" s="581">
        <f t="shared" si="111"/>
        <v>11263232409</v>
      </c>
      <c r="AT77" s="581">
        <f t="shared" si="111"/>
        <v>18301267246</v>
      </c>
      <c r="AU77" s="582">
        <f>SUM(AU71:AU75)/2</f>
        <v>144297368146</v>
      </c>
      <c r="AV77" s="580">
        <f aca="true" t="shared" si="112" ref="AV77:BA77">SUM(AV71:AV75)/2</f>
        <v>1010738182</v>
      </c>
      <c r="AW77" s="581">
        <v>0</v>
      </c>
      <c r="AX77" s="581">
        <f t="shared" si="112"/>
        <v>12853533216</v>
      </c>
      <c r="AY77" s="581">
        <f t="shared" si="112"/>
        <v>6821872526</v>
      </c>
      <c r="AZ77" s="581">
        <f t="shared" si="112"/>
        <v>13446930294</v>
      </c>
      <c r="BA77" s="581">
        <f t="shared" si="112"/>
        <v>9601776423</v>
      </c>
      <c r="BB77" s="583">
        <f aca="true" t="shared" si="113" ref="BB77:BK77">SUM(BB71:BB75)/2</f>
        <v>15463826708</v>
      </c>
      <c r="BC77" s="581">
        <f t="shared" si="113"/>
        <v>10142190865</v>
      </c>
      <c r="BD77" s="581">
        <f t="shared" si="113"/>
        <v>19865973444</v>
      </c>
      <c r="BE77" s="581">
        <f t="shared" si="113"/>
        <v>14936507972</v>
      </c>
      <c r="BF77" s="581">
        <f t="shared" si="113"/>
        <v>11263232409</v>
      </c>
      <c r="BG77" s="581">
        <f t="shared" si="113"/>
        <v>18301267246</v>
      </c>
      <c r="BH77" s="582">
        <f t="shared" si="113"/>
        <v>144297368146</v>
      </c>
      <c r="BI77" s="580">
        <f t="shared" si="113"/>
        <v>954175672</v>
      </c>
      <c r="BJ77" s="584">
        <f>SUM(BJ71:BJ75)/2</f>
        <v>21012721207</v>
      </c>
      <c r="BK77" s="582">
        <f t="shared" si="113"/>
        <v>0</v>
      </c>
    </row>
    <row r="78" spans="6:63" ht="15">
      <c r="F78" s="543"/>
      <c r="G78" s="544"/>
      <c r="H78" s="545"/>
      <c r="I78" s="545"/>
      <c r="J78" s="545"/>
      <c r="K78" s="545"/>
      <c r="L78" s="545"/>
      <c r="M78" s="545"/>
      <c r="N78" s="545"/>
      <c r="O78" s="545"/>
      <c r="P78" s="545"/>
      <c r="Q78" s="545"/>
      <c r="R78" s="545"/>
      <c r="S78" s="545"/>
      <c r="T78" s="545"/>
      <c r="U78" s="545"/>
      <c r="V78" s="545"/>
      <c r="W78" s="545"/>
      <c r="X78" s="545"/>
      <c r="Y78" s="545"/>
      <c r="Z78" s="545"/>
      <c r="AA78" s="545"/>
      <c r="AB78" s="546"/>
      <c r="AC78" s="545"/>
      <c r="AD78" s="545"/>
      <c r="AE78" s="545"/>
      <c r="AF78" s="545"/>
      <c r="AG78" s="545"/>
      <c r="AH78" s="547"/>
      <c r="AI78" s="545"/>
      <c r="AJ78" s="545"/>
      <c r="AK78" s="545"/>
      <c r="AL78" s="545"/>
      <c r="AM78" s="545"/>
      <c r="AN78" s="545"/>
      <c r="AO78" s="546"/>
      <c r="AP78" s="545"/>
      <c r="AQ78" s="545"/>
      <c r="AR78" s="545"/>
      <c r="AS78" s="545"/>
      <c r="AT78" s="545"/>
      <c r="AU78" s="547"/>
      <c r="AV78" s="545"/>
      <c r="AW78" s="545"/>
      <c r="AX78" s="545"/>
      <c r="AY78" s="545"/>
      <c r="AZ78" s="545"/>
      <c r="BA78" s="545"/>
      <c r="BB78" s="546"/>
      <c r="BC78" s="545"/>
      <c r="BD78" s="545"/>
      <c r="BE78" s="545"/>
      <c r="BF78" s="545"/>
      <c r="BG78" s="545"/>
      <c r="BH78" s="547"/>
      <c r="BI78" s="545"/>
      <c r="BJ78" s="545"/>
      <c r="BK78" s="545"/>
    </row>
    <row r="79" spans="6:63" ht="15">
      <c r="F79" s="543"/>
      <c r="G79" s="544"/>
      <c r="H79" s="545"/>
      <c r="I79" s="545"/>
      <c r="J79" s="545"/>
      <c r="K79" s="545"/>
      <c r="L79" s="545"/>
      <c r="M79" s="545"/>
      <c r="N79" s="545"/>
      <c r="O79" s="545"/>
      <c r="P79" s="545"/>
      <c r="Q79" s="545"/>
      <c r="R79" s="545"/>
      <c r="S79" s="545"/>
      <c r="T79" s="545"/>
      <c r="U79" s="545"/>
      <c r="V79" s="545"/>
      <c r="W79" s="545"/>
      <c r="X79" s="545"/>
      <c r="Y79" s="545"/>
      <c r="Z79" s="545"/>
      <c r="AA79" s="545"/>
      <c r="AB79" s="546"/>
      <c r="AC79" s="545"/>
      <c r="AD79" s="545"/>
      <c r="AE79" s="545"/>
      <c r="AF79" s="545"/>
      <c r="AG79" s="545"/>
      <c r="AH79" s="547"/>
      <c r="AI79" s="545"/>
      <c r="AJ79" s="545"/>
      <c r="AK79" s="545"/>
      <c r="AL79" s="545"/>
      <c r="AM79" s="545"/>
      <c r="AN79" s="545"/>
      <c r="AO79" s="546"/>
      <c r="AP79" s="545"/>
      <c r="AQ79" s="545"/>
      <c r="AR79" s="545"/>
      <c r="AS79" s="545"/>
      <c r="AT79" s="545"/>
      <c r="AU79" s="547"/>
      <c r="AV79" s="545"/>
      <c r="AW79" s="545"/>
      <c r="AX79" s="545"/>
      <c r="AY79" s="545"/>
      <c r="AZ79" s="545"/>
      <c r="BA79" s="545"/>
      <c r="BB79" s="546"/>
      <c r="BC79" s="545"/>
      <c r="BD79" s="545"/>
      <c r="BE79" s="545"/>
      <c r="BF79" s="545"/>
      <c r="BG79" s="545"/>
      <c r="BH79" s="547"/>
      <c r="BI79" s="545"/>
      <c r="BJ79" s="545"/>
      <c r="BK79" s="545"/>
    </row>
  </sheetData>
  <sheetProtection/>
  <printOptions horizontalCentered="1" verticalCentered="1"/>
  <pageMargins left="0.5511811023622047" right="0.75" top="0.7874015748031497" bottom="0.6299212598425197" header="0.4724409448818898" footer="0.2755905511811024"/>
  <pageSetup fitToHeight="2" horizontalDpi="300" verticalDpi="300" orientation="landscape" paperSize="9" scale="40" r:id="rId2"/>
  <headerFooter alignWithMargins="0">
    <oddHeader>&amp;LGPR-&amp;D&amp;C&amp;16INFORME &amp;18EJECUCIÓN DE GASTOS - VIGENCIA 2003
&amp;RPág. &amp;P/&amp;N</oddHeader>
    <oddFooter xml:space="preserve">&amp;L&amp;16DURAN ROA CARVAJAL
Jefe de Presupuesto &amp;C&amp;16MARTA LUCIA VILLEGAS BOTERO 
Directora General &amp;R&amp;16LUZ MARINA CARREÑO MORENO
Subdirectora  Financiera (e) </oddFooter>
  </headerFooter>
  <rowBreaks count="1" manualBreakCount="1">
    <brk id="5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46"/>
  <sheetViews>
    <sheetView showGridLines="0" zoomScale="75" zoomScaleNormal="75" zoomScalePageLayoutView="0" workbookViewId="0" topLeftCell="E29">
      <selection activeCell="X40" sqref="X40"/>
    </sheetView>
  </sheetViews>
  <sheetFormatPr defaultColWidth="18.7109375" defaultRowHeight="19.5" customHeight="1"/>
  <cols>
    <col min="1" max="1" width="3.140625" style="278" customWidth="1"/>
    <col min="2" max="2" width="3.00390625" style="278" customWidth="1"/>
    <col min="3" max="3" width="6.140625" style="278" customWidth="1"/>
    <col min="4" max="4" width="5.8515625" style="278" customWidth="1"/>
    <col min="5" max="5" width="6.140625" style="278" customWidth="1"/>
    <col min="6" max="6" width="5.421875" style="278" customWidth="1"/>
    <col min="7" max="7" width="3.8515625" style="278" customWidth="1"/>
    <col min="8" max="8" width="42.7109375" style="278" customWidth="1"/>
    <col min="9" max="9" width="17.7109375" style="278" customWidth="1"/>
    <col min="10" max="21" width="17.7109375" style="278" hidden="1" customWidth="1"/>
    <col min="22" max="24" width="17.7109375" style="278" customWidth="1"/>
    <col min="25" max="36" width="17.7109375" style="278" hidden="1" customWidth="1"/>
    <col min="37" max="38" width="17.7109375" style="278" customWidth="1"/>
    <col min="39" max="16384" width="18.7109375" style="278" customWidth="1"/>
  </cols>
  <sheetData>
    <row r="1" spans="1:38" ht="19.5" customHeight="1">
      <c r="A1" s="275"/>
      <c r="B1" s="370"/>
      <c r="C1" s="276"/>
      <c r="D1" s="277"/>
      <c r="E1" s="277"/>
      <c r="F1" s="277"/>
      <c r="G1" s="277"/>
      <c r="H1" s="664" t="s">
        <v>0</v>
      </c>
      <c r="I1" s="665" t="s">
        <v>1</v>
      </c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7"/>
      <c r="W1" s="668"/>
      <c r="X1" s="669" t="s">
        <v>2</v>
      </c>
      <c r="Y1" s="670" t="s">
        <v>3</v>
      </c>
      <c r="Z1" s="670" t="s">
        <v>4</v>
      </c>
      <c r="AA1" s="670" t="s">
        <v>5</v>
      </c>
      <c r="AB1" s="670" t="s">
        <v>6</v>
      </c>
      <c r="AC1" s="670" t="s">
        <v>7</v>
      </c>
      <c r="AD1" s="670" t="s">
        <v>8</v>
      </c>
      <c r="AE1" s="670" t="s">
        <v>9</v>
      </c>
      <c r="AF1" s="670" t="s">
        <v>10</v>
      </c>
      <c r="AG1" s="670" t="s">
        <v>11</v>
      </c>
      <c r="AH1" s="670" t="s">
        <v>12</v>
      </c>
      <c r="AI1" s="670" t="s">
        <v>13</v>
      </c>
      <c r="AJ1" s="670" t="s">
        <v>14</v>
      </c>
      <c r="AK1" s="671" t="s">
        <v>16</v>
      </c>
      <c r="AL1" s="672"/>
    </row>
    <row r="2" spans="1:38" ht="19.5" customHeight="1">
      <c r="A2" s="379"/>
      <c r="B2" s="420"/>
      <c r="C2" s="380"/>
      <c r="D2" s="381"/>
      <c r="E2" s="381"/>
      <c r="F2" s="381"/>
      <c r="G2" s="381"/>
      <c r="H2" s="382"/>
      <c r="I2" s="383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60"/>
      <c r="W2" s="385"/>
      <c r="X2" s="386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7"/>
      <c r="AL2" s="388"/>
    </row>
    <row r="3" spans="1:38" ht="19.5" customHeight="1" thickBot="1">
      <c r="A3" s="279"/>
      <c r="B3" s="389"/>
      <c r="C3" s="280"/>
      <c r="D3" s="281"/>
      <c r="E3" s="281"/>
      <c r="F3" s="281"/>
      <c r="G3" s="281"/>
      <c r="H3" s="661" t="s">
        <v>203</v>
      </c>
      <c r="I3" s="220" t="s">
        <v>252</v>
      </c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3"/>
      <c r="W3" s="282"/>
      <c r="X3" s="96" t="s">
        <v>18</v>
      </c>
      <c r="Y3" s="283" t="s">
        <v>259</v>
      </c>
      <c r="Z3" s="283" t="s">
        <v>259</v>
      </c>
      <c r="AA3" s="283" t="s">
        <v>259</v>
      </c>
      <c r="AB3" s="283" t="s">
        <v>259</v>
      </c>
      <c r="AC3" s="283" t="s">
        <v>259</v>
      </c>
      <c r="AD3" s="283" t="s">
        <v>259</v>
      </c>
      <c r="AE3" s="283" t="s">
        <v>259</v>
      </c>
      <c r="AF3" s="283" t="s">
        <v>259</v>
      </c>
      <c r="AG3" s="283"/>
      <c r="AH3" s="283"/>
      <c r="AI3" s="283"/>
      <c r="AJ3" s="283"/>
      <c r="AK3" s="191">
        <f ca="1">TODAY()</f>
        <v>41229</v>
      </c>
      <c r="AL3" s="192"/>
    </row>
    <row r="4" spans="1:38" ht="19.5" customHeight="1" thickBot="1" thickTop="1">
      <c r="A4" s="284"/>
      <c r="B4" s="284"/>
      <c r="C4" s="284"/>
      <c r="D4" s="284"/>
      <c r="E4" s="284"/>
      <c r="F4" s="284"/>
      <c r="G4" s="284"/>
      <c r="H4" s="28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</row>
    <row r="5" spans="1:5" ht="19.5" customHeight="1" thickBot="1">
      <c r="A5" s="416" t="s">
        <v>264</v>
      </c>
      <c r="B5" s="414"/>
      <c r="C5" s="414"/>
      <c r="D5" s="414"/>
      <c r="E5" s="415"/>
    </row>
    <row r="6" spans="1:38" ht="19.5" customHeight="1" thickBot="1">
      <c r="A6" s="285" t="s">
        <v>126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</row>
    <row r="7" spans="1:38" ht="19.5" customHeight="1" thickBot="1" thickTop="1">
      <c r="A7" s="287" t="s">
        <v>92</v>
      </c>
      <c r="B7" s="288"/>
      <c r="C7" s="288"/>
      <c r="D7" s="288"/>
      <c r="E7" s="288"/>
      <c r="F7" s="288"/>
      <c r="G7" s="288"/>
      <c r="H7" s="289"/>
      <c r="I7" s="1" t="s">
        <v>204</v>
      </c>
      <c r="J7" s="1" t="s">
        <v>204</v>
      </c>
      <c r="K7" s="1" t="s">
        <v>204</v>
      </c>
      <c r="L7" s="1" t="s">
        <v>204</v>
      </c>
      <c r="M7" s="1" t="s">
        <v>204</v>
      </c>
      <c r="N7" s="1" t="s">
        <v>204</v>
      </c>
      <c r="O7" s="1" t="s">
        <v>204</v>
      </c>
      <c r="P7" s="1" t="s">
        <v>204</v>
      </c>
      <c r="Q7" s="1" t="s">
        <v>204</v>
      </c>
      <c r="R7" s="1" t="s">
        <v>204</v>
      </c>
      <c r="S7" s="1" t="s">
        <v>204</v>
      </c>
      <c r="T7" s="1" t="s">
        <v>204</v>
      </c>
      <c r="U7" s="1" t="s">
        <v>204</v>
      </c>
      <c r="V7" s="290" t="s">
        <v>20</v>
      </c>
      <c r="W7" s="291"/>
      <c r="X7" s="1" t="s">
        <v>204</v>
      </c>
      <c r="Y7" s="1" t="s">
        <v>97</v>
      </c>
      <c r="Z7" s="1" t="s">
        <v>97</v>
      </c>
      <c r="AA7" s="1" t="s">
        <v>97</v>
      </c>
      <c r="AB7" s="1" t="s">
        <v>97</v>
      </c>
      <c r="AC7" s="1" t="s">
        <v>97</v>
      </c>
      <c r="AD7" s="1" t="s">
        <v>97</v>
      </c>
      <c r="AE7" s="1" t="s">
        <v>97</v>
      </c>
      <c r="AF7" s="1" t="s">
        <v>97</v>
      </c>
      <c r="AG7" s="1" t="s">
        <v>97</v>
      </c>
      <c r="AH7" s="1" t="s">
        <v>97</v>
      </c>
      <c r="AI7" s="1" t="s">
        <v>97</v>
      </c>
      <c r="AJ7" s="1" t="s">
        <v>97</v>
      </c>
      <c r="AK7" s="292" t="s">
        <v>15</v>
      </c>
      <c r="AL7" s="293" t="s">
        <v>205</v>
      </c>
    </row>
    <row r="8" spans="1:38" ht="19.5" customHeight="1" thickTop="1">
      <c r="A8" s="333" t="s">
        <v>100</v>
      </c>
      <c r="B8" s="334" t="s">
        <v>101</v>
      </c>
      <c r="C8" s="334" t="s">
        <v>206</v>
      </c>
      <c r="D8" s="334" t="s">
        <v>207</v>
      </c>
      <c r="E8" s="334" t="s">
        <v>208</v>
      </c>
      <c r="F8" s="334" t="s">
        <v>209</v>
      </c>
      <c r="G8" s="334" t="s">
        <v>105</v>
      </c>
      <c r="H8" s="294" t="s">
        <v>25</v>
      </c>
      <c r="I8" s="295" t="s">
        <v>210</v>
      </c>
      <c r="J8" s="295" t="s">
        <v>211</v>
      </c>
      <c r="K8" s="295" t="s">
        <v>212</v>
      </c>
      <c r="L8" s="295" t="s">
        <v>213</v>
      </c>
      <c r="M8" s="295" t="s">
        <v>214</v>
      </c>
      <c r="N8" s="295" t="s">
        <v>215</v>
      </c>
      <c r="O8" s="295" t="s">
        <v>216</v>
      </c>
      <c r="P8" s="295" t="s">
        <v>217</v>
      </c>
      <c r="Q8" s="295" t="s">
        <v>218</v>
      </c>
      <c r="R8" s="295" t="s">
        <v>219</v>
      </c>
      <c r="S8" s="295" t="s">
        <v>220</v>
      </c>
      <c r="T8" s="295" t="s">
        <v>221</v>
      </c>
      <c r="U8" s="295" t="s">
        <v>222</v>
      </c>
      <c r="V8" s="296">
        <v>-3</v>
      </c>
      <c r="W8" s="297"/>
      <c r="X8" s="295" t="s">
        <v>15</v>
      </c>
      <c r="Y8" s="295" t="s">
        <v>211</v>
      </c>
      <c r="Z8" s="295" t="s">
        <v>212</v>
      </c>
      <c r="AA8" s="295" t="s">
        <v>213</v>
      </c>
      <c r="AB8" s="295" t="s">
        <v>214</v>
      </c>
      <c r="AC8" s="295" t="s">
        <v>215</v>
      </c>
      <c r="AD8" s="295" t="s">
        <v>216</v>
      </c>
      <c r="AE8" s="295" t="s">
        <v>217</v>
      </c>
      <c r="AF8" s="295" t="s">
        <v>218</v>
      </c>
      <c r="AG8" s="295" t="s">
        <v>219</v>
      </c>
      <c r="AH8" s="295" t="s">
        <v>220</v>
      </c>
      <c r="AI8" s="295" t="s">
        <v>221</v>
      </c>
      <c r="AJ8" s="295" t="s">
        <v>222</v>
      </c>
      <c r="AK8" s="298" t="s">
        <v>97</v>
      </c>
      <c r="AL8" s="299" t="s">
        <v>15</v>
      </c>
    </row>
    <row r="9" spans="1:38" ht="19.5" customHeight="1" thickBot="1">
      <c r="A9" s="335"/>
      <c r="B9" s="336"/>
      <c r="C9" s="336" t="s">
        <v>110</v>
      </c>
      <c r="D9" s="336" t="s">
        <v>111</v>
      </c>
      <c r="E9" s="336" t="s">
        <v>112</v>
      </c>
      <c r="F9" s="336"/>
      <c r="G9" s="336"/>
      <c r="H9" s="300"/>
      <c r="I9" s="2">
        <v>-1</v>
      </c>
      <c r="J9" s="301" t="s">
        <v>34</v>
      </c>
      <c r="K9" s="301" t="s">
        <v>34</v>
      </c>
      <c r="L9" s="301" t="s">
        <v>34</v>
      </c>
      <c r="M9" s="301" t="s">
        <v>34</v>
      </c>
      <c r="N9" s="301" t="s">
        <v>34</v>
      </c>
      <c r="O9" s="301" t="s">
        <v>34</v>
      </c>
      <c r="P9" s="301" t="s">
        <v>34</v>
      </c>
      <c r="Q9" s="301" t="s">
        <v>34</v>
      </c>
      <c r="R9" s="301" t="s">
        <v>34</v>
      </c>
      <c r="S9" s="301" t="s">
        <v>34</v>
      </c>
      <c r="T9" s="301" t="s">
        <v>34</v>
      </c>
      <c r="U9" s="301" t="s">
        <v>34</v>
      </c>
      <c r="V9" s="302" t="s">
        <v>223</v>
      </c>
      <c r="W9" s="302" t="s">
        <v>224</v>
      </c>
      <c r="X9" s="675" t="s">
        <v>285</v>
      </c>
      <c r="Y9" s="2">
        <v>-5</v>
      </c>
      <c r="Z9" s="2">
        <v>-5</v>
      </c>
      <c r="AA9" s="2">
        <v>-5</v>
      </c>
      <c r="AB9" s="2">
        <v>-5</v>
      </c>
      <c r="AC9" s="2">
        <v>-5</v>
      </c>
      <c r="AD9" s="2">
        <v>-5</v>
      </c>
      <c r="AE9" s="2">
        <v>-5</v>
      </c>
      <c r="AF9" s="2">
        <v>-5</v>
      </c>
      <c r="AG9" s="2">
        <v>-5</v>
      </c>
      <c r="AH9" s="2">
        <v>-5</v>
      </c>
      <c r="AI9" s="2">
        <v>-5</v>
      </c>
      <c r="AJ9" s="2">
        <v>-5</v>
      </c>
      <c r="AK9" s="2" t="s">
        <v>226</v>
      </c>
      <c r="AL9" s="303" t="s">
        <v>227</v>
      </c>
    </row>
    <row r="10" spans="1:38" s="306" customFormat="1" ht="19.5" customHeight="1" thickBot="1" thickTop="1">
      <c r="A10" s="304"/>
      <c r="B10" s="304"/>
      <c r="C10" s="304"/>
      <c r="D10" s="304"/>
      <c r="E10" s="304"/>
      <c r="F10" s="304"/>
      <c r="G10" s="304"/>
      <c r="H10" s="305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5"/>
      <c r="W10" s="305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5"/>
      <c r="AL10" s="304"/>
    </row>
    <row r="11" spans="1:38" s="351" customFormat="1" ht="24.75" customHeight="1" thickBot="1" thickTop="1">
      <c r="A11" s="347" t="s">
        <v>127</v>
      </c>
      <c r="B11" s="348" t="s">
        <v>130</v>
      </c>
      <c r="C11" s="348"/>
      <c r="D11" s="348"/>
      <c r="E11" s="348"/>
      <c r="F11" s="348"/>
      <c r="G11" s="348"/>
      <c r="H11" s="349" t="s">
        <v>228</v>
      </c>
      <c r="I11" s="348">
        <f aca="true" t="shared" si="0" ref="I11:AL11">SUM(I12:I14)</f>
        <v>14132481425</v>
      </c>
      <c r="J11" s="348">
        <f t="shared" si="0"/>
        <v>1006648140.2348483</v>
      </c>
      <c r="K11" s="348">
        <f t="shared" si="0"/>
        <v>1035231340</v>
      </c>
      <c r="L11" s="348">
        <f t="shared" si="0"/>
        <v>1022594337</v>
      </c>
      <c r="M11" s="348">
        <f t="shared" si="0"/>
        <v>1400984127</v>
      </c>
      <c r="N11" s="348">
        <f t="shared" si="0"/>
        <v>1039277746</v>
      </c>
      <c r="O11" s="348">
        <f t="shared" si="0"/>
        <v>1501459578</v>
      </c>
      <c r="P11" s="348">
        <f t="shared" si="0"/>
        <v>1056735546</v>
      </c>
      <c r="Q11" s="348">
        <f t="shared" si="0"/>
        <v>1352274321</v>
      </c>
      <c r="R11" s="348">
        <f t="shared" si="0"/>
        <v>1095149317</v>
      </c>
      <c r="S11" s="348">
        <f t="shared" si="0"/>
        <v>1084460218</v>
      </c>
      <c r="T11" s="348">
        <f t="shared" si="0"/>
        <v>760701938.1818181</v>
      </c>
      <c r="U11" s="348">
        <f t="shared" si="0"/>
        <v>1776964816.5833333</v>
      </c>
      <c r="V11" s="345">
        <f t="shared" si="0"/>
        <v>0</v>
      </c>
      <c r="W11" s="345">
        <f t="shared" si="0"/>
        <v>0</v>
      </c>
      <c r="X11" s="654">
        <f t="shared" si="0"/>
        <v>14132481425</v>
      </c>
      <c r="Y11" s="348">
        <f t="shared" si="0"/>
        <v>491578023</v>
      </c>
      <c r="Z11" s="348">
        <f t="shared" si="0"/>
        <v>857970866</v>
      </c>
      <c r="AA11" s="348">
        <f t="shared" si="0"/>
        <v>896496367</v>
      </c>
      <c r="AB11" s="348">
        <f t="shared" si="0"/>
        <v>973624215</v>
      </c>
      <c r="AC11" s="348">
        <f t="shared" si="0"/>
        <v>1023995970</v>
      </c>
      <c r="AD11" s="348">
        <f t="shared" si="0"/>
        <v>1435835071</v>
      </c>
      <c r="AE11" s="348">
        <f t="shared" si="0"/>
        <v>1250534066</v>
      </c>
      <c r="AF11" s="348">
        <f t="shared" si="0"/>
        <v>875461815</v>
      </c>
      <c r="AG11" s="348">
        <f t="shared" si="0"/>
        <v>983631273</v>
      </c>
      <c r="AH11" s="348">
        <f t="shared" si="0"/>
        <v>1034097494</v>
      </c>
      <c r="AI11" s="348">
        <f t="shared" si="0"/>
        <v>1417568763</v>
      </c>
      <c r="AJ11" s="348">
        <f t="shared" si="0"/>
        <v>2788558390</v>
      </c>
      <c r="AK11" s="345">
        <f t="shared" si="0"/>
        <v>14029352313</v>
      </c>
      <c r="AL11" s="350">
        <f t="shared" si="0"/>
        <v>103129112</v>
      </c>
    </row>
    <row r="12" spans="1:38" ht="24.75" customHeight="1" thickTop="1">
      <c r="A12" s="307" t="s">
        <v>127</v>
      </c>
      <c r="B12" s="308" t="s">
        <v>130</v>
      </c>
      <c r="C12" s="375" t="s">
        <v>131</v>
      </c>
      <c r="D12" s="308" t="s">
        <v>229</v>
      </c>
      <c r="E12" s="308"/>
      <c r="F12" s="308"/>
      <c r="G12" s="308"/>
      <c r="H12" s="309" t="s">
        <v>230</v>
      </c>
      <c r="I12" s="341">
        <f>SUM(J12:W12)</f>
        <v>9628391628</v>
      </c>
      <c r="J12" s="308">
        <v>720125133</v>
      </c>
      <c r="K12" s="308">
        <v>720845258</v>
      </c>
      <c r="L12" s="308">
        <v>721566103</v>
      </c>
      <c r="M12" s="308">
        <v>722287669</v>
      </c>
      <c r="N12" s="308">
        <v>723009957</v>
      </c>
      <c r="O12" s="308">
        <v>1177285094</v>
      </c>
      <c r="P12" s="308">
        <v>724456700</v>
      </c>
      <c r="Q12" s="308">
        <v>725181157</v>
      </c>
      <c r="R12" s="308">
        <v>725906338</v>
      </c>
      <c r="S12" s="308">
        <v>726632244</v>
      </c>
      <c r="T12" s="308">
        <v>727358877</v>
      </c>
      <c r="U12" s="308">
        <f>1455299406-241562308</f>
        <v>1213737098</v>
      </c>
      <c r="V12" s="310">
        <v>0</v>
      </c>
      <c r="W12" s="310">
        <v>0</v>
      </c>
      <c r="X12" s="653">
        <f>SUM($J12:U12,V12:W12)</f>
        <v>9628391628</v>
      </c>
      <c r="Y12" s="652">
        <f>GASTOS!AV11</f>
        <v>453262059</v>
      </c>
      <c r="Z12" s="308">
        <f>GASTOS!AW11</f>
        <v>626528884</v>
      </c>
      <c r="AA12" s="308">
        <f>GASTOS!AX11</f>
        <v>643374954</v>
      </c>
      <c r="AB12" s="308">
        <f>GASTOS!AY11</f>
        <v>676415635</v>
      </c>
      <c r="AC12" s="308">
        <f>GASTOS!AZ11</f>
        <v>650551842</v>
      </c>
      <c r="AD12" s="308">
        <f>GASTOS!BA11</f>
        <v>1037646095</v>
      </c>
      <c r="AE12" s="308">
        <f>GASTOS!BB11</f>
        <v>757149148</v>
      </c>
      <c r="AF12" s="308">
        <f>GASTOS!BC11</f>
        <v>573447030</v>
      </c>
      <c r="AG12" s="308">
        <f>GASTOS!BD11</f>
        <v>619129727</v>
      </c>
      <c r="AH12" s="308">
        <f>GASTOS!BE11</f>
        <v>632381978</v>
      </c>
      <c r="AI12" s="308">
        <f>GASTOS!BF11</f>
        <v>737298127</v>
      </c>
      <c r="AJ12" s="308">
        <f>GASTOS!BG11</f>
        <v>2191021979</v>
      </c>
      <c r="AK12" s="371">
        <f>SUM(Y12:AJ12)</f>
        <v>9598207458</v>
      </c>
      <c r="AL12" s="637">
        <f>X12-AK12</f>
        <v>30184170</v>
      </c>
    </row>
    <row r="13" spans="1:38" ht="24.75" customHeight="1">
      <c r="A13" s="311" t="s">
        <v>127</v>
      </c>
      <c r="B13" s="312" t="s">
        <v>130</v>
      </c>
      <c r="C13" s="376" t="s">
        <v>136</v>
      </c>
      <c r="D13" s="313" t="s">
        <v>229</v>
      </c>
      <c r="E13" s="313"/>
      <c r="F13" s="313"/>
      <c r="G13" s="313"/>
      <c r="H13" s="314" t="s">
        <v>231</v>
      </c>
      <c r="I13" s="342">
        <f>SUM(J13:W13)</f>
        <v>4107971817.9999995</v>
      </c>
      <c r="J13" s="313">
        <v>286523007.2348483</v>
      </c>
      <c r="K13" s="313">
        <v>293686082</v>
      </c>
      <c r="L13" s="313">
        <v>301028234</v>
      </c>
      <c r="M13" s="313">
        <v>658553940</v>
      </c>
      <c r="N13" s="313">
        <v>316267789</v>
      </c>
      <c r="O13" s="313">
        <v>324174484</v>
      </c>
      <c r="P13" s="313">
        <v>332278846</v>
      </c>
      <c r="Q13" s="313">
        <v>340585817</v>
      </c>
      <c r="R13" s="313">
        <v>349100462</v>
      </c>
      <c r="S13" s="313">
        <v>357827974</v>
      </c>
      <c r="T13" s="313">
        <v>33343061.181818184</v>
      </c>
      <c r="U13" s="313">
        <f>31328584.5833333+483124617+148920</f>
        <v>514602121.5833333</v>
      </c>
      <c r="V13" s="315">
        <v>0</v>
      </c>
      <c r="W13" s="315">
        <v>0</v>
      </c>
      <c r="X13" s="653">
        <f>SUM($J13:U13,V13:W13)</f>
        <v>4107971817.9999995</v>
      </c>
      <c r="Y13" s="304">
        <f>GASTOS!AV22</f>
        <v>38315964</v>
      </c>
      <c r="Z13" s="313">
        <f>GASTOS!AW22</f>
        <v>210798417</v>
      </c>
      <c r="AA13" s="313">
        <f>GASTOS!AX22</f>
        <v>246998199</v>
      </c>
      <c r="AB13" s="313">
        <f>GASTOS!AY22</f>
        <v>297208580</v>
      </c>
      <c r="AC13" s="313">
        <f>GASTOS!AZ22</f>
        <v>373444128</v>
      </c>
      <c r="AD13" s="313">
        <f>GASTOS!BA22</f>
        <v>398188976</v>
      </c>
      <c r="AE13" s="313">
        <f>GASTOS!BB22</f>
        <v>493384918</v>
      </c>
      <c r="AF13" s="313">
        <f>GASTOS!BC22</f>
        <v>302014785</v>
      </c>
      <c r="AG13" s="313">
        <f>GASTOS!BD22</f>
        <v>364168550</v>
      </c>
      <c r="AH13" s="313">
        <f>GASTOS!BE22</f>
        <v>395745668</v>
      </c>
      <c r="AI13" s="313">
        <f>GASTOS!BF22</f>
        <v>393763289</v>
      </c>
      <c r="AJ13" s="313">
        <f>GASTOS!BG22</f>
        <v>593940344</v>
      </c>
      <c r="AK13" s="372">
        <f>SUM(Y13:AJ13)</f>
        <v>4107971818</v>
      </c>
      <c r="AL13" s="638">
        <f>X13-AK13</f>
        <v>0</v>
      </c>
    </row>
    <row r="14" spans="1:38" ht="24.75" customHeight="1" thickBot="1">
      <c r="A14" s="311" t="s">
        <v>127</v>
      </c>
      <c r="B14" s="312" t="s">
        <v>130</v>
      </c>
      <c r="C14" s="376" t="s">
        <v>138</v>
      </c>
      <c r="D14" s="313" t="s">
        <v>229</v>
      </c>
      <c r="E14" s="313"/>
      <c r="F14" s="313"/>
      <c r="G14" s="313"/>
      <c r="H14" s="314" t="s">
        <v>232</v>
      </c>
      <c r="I14" s="342">
        <f>SUM(J14:W14)</f>
        <v>396117979</v>
      </c>
      <c r="J14" s="313">
        <v>0</v>
      </c>
      <c r="K14" s="313">
        <v>20700000</v>
      </c>
      <c r="L14" s="313">
        <v>0</v>
      </c>
      <c r="M14" s="313">
        <v>20142518</v>
      </c>
      <c r="N14" s="313">
        <v>0</v>
      </c>
      <c r="O14" s="313">
        <v>0</v>
      </c>
      <c r="P14" s="313">
        <v>0</v>
      </c>
      <c r="Q14" s="313">
        <v>286507347</v>
      </c>
      <c r="R14" s="313">
        <v>20142517</v>
      </c>
      <c r="S14" s="313">
        <v>0</v>
      </c>
      <c r="T14" s="313">
        <v>0</v>
      </c>
      <c r="U14" s="313">
        <f>290187906-241562309</f>
        <v>48625597</v>
      </c>
      <c r="V14" s="315">
        <v>0</v>
      </c>
      <c r="W14" s="315">
        <v>0</v>
      </c>
      <c r="X14" s="653">
        <f>SUM($J14:U14,V14:W14)</f>
        <v>396117979</v>
      </c>
      <c r="Y14" s="313">
        <f>GASTOS!AV27</f>
        <v>0</v>
      </c>
      <c r="Z14" s="313">
        <f>GASTOS!AW27</f>
        <v>20643565</v>
      </c>
      <c r="AA14" s="313">
        <f>GASTOS!AX27</f>
        <v>6123214</v>
      </c>
      <c r="AB14" s="313">
        <f>GASTOS!AY27</f>
        <v>0</v>
      </c>
      <c r="AC14" s="313">
        <f>GASTOS!AZ27</f>
        <v>0</v>
      </c>
      <c r="AD14" s="313">
        <f>GASTOS!BA27</f>
        <v>0</v>
      </c>
      <c r="AE14" s="313">
        <f>GASTOS!BB27</f>
        <v>0</v>
      </c>
      <c r="AF14" s="313">
        <f>GASTOS!BC27</f>
        <v>0</v>
      </c>
      <c r="AG14" s="313">
        <f>GASTOS!BD27</f>
        <v>332996</v>
      </c>
      <c r="AH14" s="313">
        <f>GASTOS!BE27</f>
        <v>5969848</v>
      </c>
      <c r="AI14" s="313">
        <f>GASTOS!BF27</f>
        <v>286507347</v>
      </c>
      <c r="AJ14" s="313">
        <f>GASTOS!BG27</f>
        <v>3596067</v>
      </c>
      <c r="AK14" s="372">
        <f>SUM(Y14:AJ14)</f>
        <v>323173037</v>
      </c>
      <c r="AL14" s="638">
        <f>X14-AK14</f>
        <v>72944942</v>
      </c>
    </row>
    <row r="15" spans="1:38" s="351" customFormat="1" ht="24.75" customHeight="1" thickBot="1" thickTop="1">
      <c r="A15" s="352" t="s">
        <v>169</v>
      </c>
      <c r="B15" s="353" t="s">
        <v>130</v>
      </c>
      <c r="C15" s="353" t="s">
        <v>229</v>
      </c>
      <c r="D15" s="353"/>
      <c r="E15" s="353"/>
      <c r="F15" s="353"/>
      <c r="G15" s="353"/>
      <c r="H15" s="354" t="s">
        <v>233</v>
      </c>
      <c r="I15" s="355">
        <f>SUM(J15:W15)</f>
        <v>117139114340</v>
      </c>
      <c r="J15" s="353">
        <v>10866151432.765152</v>
      </c>
      <c r="K15" s="353">
        <v>7584092720</v>
      </c>
      <c r="L15" s="353">
        <v>8720747293</v>
      </c>
      <c r="M15" s="353">
        <v>9708301812</v>
      </c>
      <c r="N15" s="353">
        <v>11052362087</v>
      </c>
      <c r="O15" s="353">
        <v>11470080694</v>
      </c>
      <c r="P15" s="353">
        <v>12170872883</v>
      </c>
      <c r="Q15" s="353">
        <v>11028794279</v>
      </c>
      <c r="R15" s="353">
        <v>11008558551</v>
      </c>
      <c r="S15" s="353">
        <v>11244578012</v>
      </c>
      <c r="T15" s="353">
        <v>10970807399.818182</v>
      </c>
      <c r="U15" s="353">
        <v>1313767176.416666</v>
      </c>
      <c r="V15" s="356">
        <v>0</v>
      </c>
      <c r="W15" s="356">
        <v>0</v>
      </c>
      <c r="X15" s="369">
        <f>SUM($J15:U15,V15:W15)</f>
        <v>117139114340</v>
      </c>
      <c r="Y15" s="353">
        <f>GASTOS!AV43</f>
        <v>519160159</v>
      </c>
      <c r="Z15" s="353">
        <f>GASTOS!AW43</f>
        <v>9451130327</v>
      </c>
      <c r="AA15" s="353">
        <f>GASTOS!AX43</f>
        <v>10646958684</v>
      </c>
      <c r="AB15" s="353">
        <f>GASTOS!AY43</f>
        <v>5118937552</v>
      </c>
      <c r="AC15" s="353">
        <f>GASTOS!AZ43</f>
        <v>11912866388</v>
      </c>
      <c r="AD15" s="353">
        <f>GASTOS!BA43</f>
        <v>7290855552</v>
      </c>
      <c r="AE15" s="353">
        <f>GASTOS!BB43</f>
        <v>13617143644</v>
      </c>
      <c r="AF15" s="353">
        <f>GASTOS!BC43</f>
        <v>5260463746</v>
      </c>
      <c r="AG15" s="353">
        <f>GASTOS!BD43</f>
        <v>13109576342</v>
      </c>
      <c r="AH15" s="353">
        <f>GASTOS!BE43</f>
        <v>8905410717</v>
      </c>
      <c r="AI15" s="353">
        <f>GASTOS!BF43</f>
        <v>5614616235</v>
      </c>
      <c r="AJ15" s="353">
        <f>GASTOS!BG43</f>
        <v>9622115199</v>
      </c>
      <c r="AK15" s="373">
        <f>SUM(Y15:AJ15)</f>
        <v>101069234545</v>
      </c>
      <c r="AL15" s="357">
        <f>X15-AK15</f>
        <v>16069879795</v>
      </c>
    </row>
    <row r="16" spans="1:38" ht="19.5" customHeight="1" thickBot="1" thickTop="1">
      <c r="A16" s="284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</row>
    <row r="17" spans="1:38" s="351" customFormat="1" ht="24.75" customHeight="1" thickBot="1" thickTop="1">
      <c r="A17" s="358"/>
      <c r="B17" s="359"/>
      <c r="C17" s="359"/>
      <c r="D17" s="359"/>
      <c r="E17" s="359"/>
      <c r="F17" s="359"/>
      <c r="G17" s="360"/>
      <c r="H17" s="361" t="s">
        <v>234</v>
      </c>
      <c r="I17" s="362">
        <f aca="true" t="shared" si="1" ref="I17:AL17">SUM(I12:I15)</f>
        <v>131271595765</v>
      </c>
      <c r="J17" s="362">
        <f t="shared" si="1"/>
        <v>11872799573</v>
      </c>
      <c r="K17" s="362">
        <f t="shared" si="1"/>
        <v>8619324060</v>
      </c>
      <c r="L17" s="362">
        <f t="shared" si="1"/>
        <v>9743341630</v>
      </c>
      <c r="M17" s="362">
        <f t="shared" si="1"/>
        <v>11109285939</v>
      </c>
      <c r="N17" s="362">
        <f t="shared" si="1"/>
        <v>12091639833</v>
      </c>
      <c r="O17" s="362">
        <f t="shared" si="1"/>
        <v>12971540272</v>
      </c>
      <c r="P17" s="362">
        <f t="shared" si="1"/>
        <v>13227608429</v>
      </c>
      <c r="Q17" s="362">
        <f t="shared" si="1"/>
        <v>12381068600</v>
      </c>
      <c r="R17" s="362">
        <f t="shared" si="1"/>
        <v>12103707868</v>
      </c>
      <c r="S17" s="362">
        <f t="shared" si="1"/>
        <v>12329038230</v>
      </c>
      <c r="T17" s="362">
        <f t="shared" si="1"/>
        <v>11731509338</v>
      </c>
      <c r="U17" s="362">
        <f t="shared" si="1"/>
        <v>3090731992.999999</v>
      </c>
      <c r="V17" s="346">
        <f t="shared" si="1"/>
        <v>0</v>
      </c>
      <c r="W17" s="346">
        <f t="shared" si="1"/>
        <v>0</v>
      </c>
      <c r="X17" s="362">
        <f t="shared" si="1"/>
        <v>131271595765</v>
      </c>
      <c r="Y17" s="362">
        <f t="shared" si="1"/>
        <v>1010738182</v>
      </c>
      <c r="Z17" s="362">
        <f t="shared" si="1"/>
        <v>10309101193</v>
      </c>
      <c r="AA17" s="362">
        <f t="shared" si="1"/>
        <v>11543455051</v>
      </c>
      <c r="AB17" s="362">
        <f t="shared" si="1"/>
        <v>6092561767</v>
      </c>
      <c r="AC17" s="362">
        <f t="shared" si="1"/>
        <v>12936862358</v>
      </c>
      <c r="AD17" s="362">
        <f t="shared" si="1"/>
        <v>8726690623</v>
      </c>
      <c r="AE17" s="362">
        <f t="shared" si="1"/>
        <v>14867677710</v>
      </c>
      <c r="AF17" s="362">
        <f t="shared" si="1"/>
        <v>6135925561</v>
      </c>
      <c r="AG17" s="362">
        <f t="shared" si="1"/>
        <v>14093207615</v>
      </c>
      <c r="AH17" s="362">
        <f t="shared" si="1"/>
        <v>9939508211</v>
      </c>
      <c r="AI17" s="362">
        <f t="shared" si="1"/>
        <v>7032184998</v>
      </c>
      <c r="AJ17" s="362">
        <f t="shared" si="1"/>
        <v>12410673589</v>
      </c>
      <c r="AK17" s="346">
        <f t="shared" si="1"/>
        <v>115098586858</v>
      </c>
      <c r="AL17" s="363">
        <f t="shared" si="1"/>
        <v>16173008907</v>
      </c>
    </row>
    <row r="18" spans="1:38" ht="19.5" customHeight="1" thickTop="1">
      <c r="A18" s="284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</row>
    <row r="19" spans="1:38" ht="19.5" customHeight="1" thickBot="1">
      <c r="A19" s="285" t="s">
        <v>281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</row>
    <row r="20" spans="1:38" ht="19.5" customHeight="1" thickBot="1" thickTop="1">
      <c r="A20" s="316" t="s">
        <v>92</v>
      </c>
      <c r="B20" s="317"/>
      <c r="C20" s="317"/>
      <c r="D20" s="317"/>
      <c r="E20" s="317"/>
      <c r="F20" s="317"/>
      <c r="G20" s="317"/>
      <c r="H20" s="318"/>
      <c r="I20" s="221" t="s">
        <v>204</v>
      </c>
      <c r="J20" s="221" t="s">
        <v>204</v>
      </c>
      <c r="K20" s="221" t="s">
        <v>204</v>
      </c>
      <c r="L20" s="221" t="s">
        <v>204</v>
      </c>
      <c r="M20" s="221" t="s">
        <v>204</v>
      </c>
      <c r="N20" s="221" t="s">
        <v>204</v>
      </c>
      <c r="O20" s="221" t="s">
        <v>204</v>
      </c>
      <c r="P20" s="221" t="s">
        <v>204</v>
      </c>
      <c r="Q20" s="221" t="s">
        <v>204</v>
      </c>
      <c r="R20" s="221" t="s">
        <v>204</v>
      </c>
      <c r="S20" s="221" t="s">
        <v>204</v>
      </c>
      <c r="T20" s="221" t="s">
        <v>204</v>
      </c>
      <c r="U20" s="221" t="s">
        <v>204</v>
      </c>
      <c r="V20" s="319" t="s">
        <v>20</v>
      </c>
      <c r="W20" s="320"/>
      <c r="X20" s="221" t="s">
        <v>204</v>
      </c>
      <c r="Y20" s="221" t="s">
        <v>97</v>
      </c>
      <c r="Z20" s="221" t="s">
        <v>97</v>
      </c>
      <c r="AA20" s="221" t="s">
        <v>97</v>
      </c>
      <c r="AB20" s="221" t="s">
        <v>97</v>
      </c>
      <c r="AC20" s="221" t="s">
        <v>97</v>
      </c>
      <c r="AD20" s="221" t="s">
        <v>97</v>
      </c>
      <c r="AE20" s="221" t="s">
        <v>97</v>
      </c>
      <c r="AF20" s="221" t="s">
        <v>97</v>
      </c>
      <c r="AG20" s="221" t="s">
        <v>97</v>
      </c>
      <c r="AH20" s="221" t="s">
        <v>97</v>
      </c>
      <c r="AI20" s="221" t="s">
        <v>97</v>
      </c>
      <c r="AJ20" s="221" t="s">
        <v>97</v>
      </c>
      <c r="AK20" s="321" t="s">
        <v>15</v>
      </c>
      <c r="AL20" s="322" t="s">
        <v>205</v>
      </c>
    </row>
    <row r="21" spans="1:38" ht="18.75" customHeight="1" thickTop="1">
      <c r="A21" s="337" t="s">
        <v>100</v>
      </c>
      <c r="B21" s="338" t="s">
        <v>101</v>
      </c>
      <c r="C21" s="338" t="s">
        <v>206</v>
      </c>
      <c r="D21" s="338" t="s">
        <v>207</v>
      </c>
      <c r="E21" s="338" t="s">
        <v>208</v>
      </c>
      <c r="F21" s="338" t="s">
        <v>209</v>
      </c>
      <c r="G21" s="338" t="s">
        <v>105</v>
      </c>
      <c r="H21" s="323" t="s">
        <v>25</v>
      </c>
      <c r="I21" s="324" t="s">
        <v>30</v>
      </c>
      <c r="J21" s="324" t="s">
        <v>211</v>
      </c>
      <c r="K21" s="324" t="s">
        <v>212</v>
      </c>
      <c r="L21" s="324" t="s">
        <v>213</v>
      </c>
      <c r="M21" s="324" t="s">
        <v>214</v>
      </c>
      <c r="N21" s="324" t="s">
        <v>215</v>
      </c>
      <c r="O21" s="324" t="s">
        <v>216</v>
      </c>
      <c r="P21" s="324" t="s">
        <v>217</v>
      </c>
      <c r="Q21" s="324" t="s">
        <v>218</v>
      </c>
      <c r="R21" s="324" t="s">
        <v>219</v>
      </c>
      <c r="S21" s="324" t="s">
        <v>220</v>
      </c>
      <c r="T21" s="324" t="s">
        <v>221</v>
      </c>
      <c r="U21" s="324" t="s">
        <v>222</v>
      </c>
      <c r="V21" s="325">
        <v>-3</v>
      </c>
      <c r="W21" s="326"/>
      <c r="X21" s="324" t="s">
        <v>15</v>
      </c>
      <c r="Y21" s="324" t="s">
        <v>211</v>
      </c>
      <c r="Z21" s="324" t="s">
        <v>212</v>
      </c>
      <c r="AA21" s="324" t="s">
        <v>213</v>
      </c>
      <c r="AB21" s="324" t="s">
        <v>214</v>
      </c>
      <c r="AC21" s="324" t="s">
        <v>215</v>
      </c>
      <c r="AD21" s="324" t="s">
        <v>216</v>
      </c>
      <c r="AE21" s="324" t="s">
        <v>217</v>
      </c>
      <c r="AF21" s="324" t="s">
        <v>218</v>
      </c>
      <c r="AG21" s="324" t="s">
        <v>219</v>
      </c>
      <c r="AH21" s="324" t="s">
        <v>220</v>
      </c>
      <c r="AI21" s="324" t="s">
        <v>221</v>
      </c>
      <c r="AJ21" s="324" t="s">
        <v>222</v>
      </c>
      <c r="AK21" s="327" t="s">
        <v>97</v>
      </c>
      <c r="AL21" s="328" t="s">
        <v>15</v>
      </c>
    </row>
    <row r="22" spans="1:38" ht="19.5" customHeight="1" thickBot="1">
      <c r="A22" s="339"/>
      <c r="B22" s="340"/>
      <c r="C22" s="340" t="s">
        <v>110</v>
      </c>
      <c r="D22" s="340" t="s">
        <v>111</v>
      </c>
      <c r="E22" s="340" t="s">
        <v>112</v>
      </c>
      <c r="F22" s="340"/>
      <c r="G22" s="340"/>
      <c r="H22" s="329"/>
      <c r="I22" s="222">
        <v>-1</v>
      </c>
      <c r="J22" s="330" t="s">
        <v>34</v>
      </c>
      <c r="K22" s="330" t="s">
        <v>34</v>
      </c>
      <c r="L22" s="330" t="s">
        <v>34</v>
      </c>
      <c r="M22" s="330" t="s">
        <v>34</v>
      </c>
      <c r="N22" s="330" t="s">
        <v>34</v>
      </c>
      <c r="O22" s="330" t="s">
        <v>34</v>
      </c>
      <c r="P22" s="330" t="s">
        <v>34</v>
      </c>
      <c r="Q22" s="330" t="s">
        <v>34</v>
      </c>
      <c r="R22" s="330" t="s">
        <v>34</v>
      </c>
      <c r="S22" s="330" t="s">
        <v>34</v>
      </c>
      <c r="T22" s="330" t="s">
        <v>34</v>
      </c>
      <c r="U22" s="330" t="s">
        <v>34</v>
      </c>
      <c r="V22" s="331" t="s">
        <v>223</v>
      </c>
      <c r="W22" s="331" t="s">
        <v>224</v>
      </c>
      <c r="X22" s="222" t="s">
        <v>225</v>
      </c>
      <c r="Y22" s="222">
        <v>-5</v>
      </c>
      <c r="Z22" s="222">
        <v>-5</v>
      </c>
      <c r="AA22" s="222">
        <v>-5</v>
      </c>
      <c r="AB22" s="222">
        <v>-5</v>
      </c>
      <c r="AC22" s="222">
        <v>-5</v>
      </c>
      <c r="AD22" s="222">
        <v>-5</v>
      </c>
      <c r="AE22" s="222">
        <v>-5</v>
      </c>
      <c r="AF22" s="222">
        <v>-5</v>
      </c>
      <c r="AG22" s="222">
        <v>-5</v>
      </c>
      <c r="AH22" s="222">
        <v>-5</v>
      </c>
      <c r="AI22" s="222">
        <v>-5</v>
      </c>
      <c r="AJ22" s="222">
        <v>-5</v>
      </c>
      <c r="AK22" s="222" t="s">
        <v>226</v>
      </c>
      <c r="AL22" s="332" t="s">
        <v>227</v>
      </c>
    </row>
    <row r="23" spans="1:38" s="306" customFormat="1" ht="19.5" customHeight="1" thickBot="1" thickTop="1">
      <c r="A23" s="304"/>
      <c r="B23" s="304"/>
      <c r="C23" s="304"/>
      <c r="D23" s="304"/>
      <c r="E23" s="304"/>
      <c r="F23" s="304"/>
      <c r="G23" s="304"/>
      <c r="H23" s="305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5"/>
      <c r="W23" s="305"/>
      <c r="X23" s="650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5"/>
      <c r="AL23" s="304"/>
    </row>
    <row r="24" spans="1:38" s="351" customFormat="1" ht="24.75" customHeight="1" thickBot="1" thickTop="1">
      <c r="A24" s="364" t="s">
        <v>169</v>
      </c>
      <c r="B24" s="365" t="s">
        <v>130</v>
      </c>
      <c r="C24" s="365" t="s">
        <v>229</v>
      </c>
      <c r="D24" s="365"/>
      <c r="E24" s="365"/>
      <c r="F24" s="365"/>
      <c r="G24" s="365"/>
      <c r="H24" s="366" t="s">
        <v>233</v>
      </c>
      <c r="I24" s="367">
        <f>SUM(J24:W24)</f>
        <v>34234945159</v>
      </c>
      <c r="J24" s="365">
        <v>0</v>
      </c>
      <c r="K24" s="365">
        <v>311173168</v>
      </c>
      <c r="L24" s="365">
        <v>1317602665</v>
      </c>
      <c r="M24" s="365">
        <v>760911359</v>
      </c>
      <c r="N24" s="365">
        <v>491388736</v>
      </c>
      <c r="O24" s="365">
        <v>889274800</v>
      </c>
      <c r="P24" s="365">
        <v>617069998</v>
      </c>
      <c r="Q24" s="365">
        <v>5260959044</v>
      </c>
      <c r="R24" s="365">
        <v>5341867035</v>
      </c>
      <c r="S24" s="365">
        <f>4096875528+344579274</f>
        <v>4441454802</v>
      </c>
      <c r="T24" s="365">
        <v>5036163871</v>
      </c>
      <c r="U24" s="365">
        <v>5036163871</v>
      </c>
      <c r="V24" s="368">
        <v>4730915810</v>
      </c>
      <c r="W24" s="368">
        <v>0</v>
      </c>
      <c r="X24" s="651">
        <f>SUM($J24:U24,V24:W24)</f>
        <v>34234945159</v>
      </c>
      <c r="Y24" s="365">
        <f>GASTOS!AV57</f>
        <v>0</v>
      </c>
      <c r="Z24" s="365">
        <f>GASTOS!AW57</f>
        <v>280417668</v>
      </c>
      <c r="AA24" s="365">
        <f>GASTOS!AX57</f>
        <v>1310078165</v>
      </c>
      <c r="AB24" s="365">
        <f>GASTOS!AY57</f>
        <v>729310759</v>
      </c>
      <c r="AC24" s="365">
        <f>GASTOS!AZ57</f>
        <v>510067936</v>
      </c>
      <c r="AD24" s="365">
        <f>GASTOS!BA57</f>
        <v>875085800</v>
      </c>
      <c r="AE24" s="365">
        <f>GASTOS!BB57</f>
        <v>596148998</v>
      </c>
      <c r="AF24" s="365">
        <f>GASTOS!BC57</f>
        <v>4006265304</v>
      </c>
      <c r="AG24" s="365">
        <f>GASTOS!BD57</f>
        <v>5772765829</v>
      </c>
      <c r="AH24" s="365">
        <f>GASTOS!BE57</f>
        <v>4996999761</v>
      </c>
      <c r="AI24" s="365">
        <f>GASTOS!BF57</f>
        <v>4231047411</v>
      </c>
      <c r="AJ24" s="365">
        <v>0</v>
      </c>
      <c r="AK24" s="374">
        <f>SUM(Y24:AJ24)</f>
        <v>23308187631</v>
      </c>
      <c r="AL24" s="363">
        <f>X24-AK24</f>
        <v>10926757528</v>
      </c>
    </row>
    <row r="25" ht="19.5" customHeight="1" thickTop="1"/>
    <row r="26" ht="19.5" customHeight="1" thickBot="1"/>
    <row r="27" spans="1:8" ht="19.5" customHeight="1" thickBot="1">
      <c r="A27" s="417" t="s">
        <v>263</v>
      </c>
      <c r="B27" s="414"/>
      <c r="C27" s="414"/>
      <c r="D27" s="414"/>
      <c r="E27" s="414"/>
      <c r="F27" s="414"/>
      <c r="G27" s="414"/>
      <c r="H27" s="415"/>
    </row>
    <row r="28" spans="1:38" ht="19.5" customHeight="1" thickBot="1">
      <c r="A28" s="285" t="s">
        <v>126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</row>
    <row r="29" spans="1:38" ht="19.5" customHeight="1" thickBot="1" thickTop="1">
      <c r="A29" s="287" t="s">
        <v>92</v>
      </c>
      <c r="B29" s="288"/>
      <c r="C29" s="288"/>
      <c r="D29" s="288"/>
      <c r="E29" s="288"/>
      <c r="F29" s="288"/>
      <c r="G29" s="288"/>
      <c r="H29" s="289"/>
      <c r="I29" s="1" t="s">
        <v>204</v>
      </c>
      <c r="J29" s="1" t="s">
        <v>204</v>
      </c>
      <c r="K29" s="1" t="s">
        <v>204</v>
      </c>
      <c r="L29" s="1" t="s">
        <v>204</v>
      </c>
      <c r="M29" s="1" t="s">
        <v>204</v>
      </c>
      <c r="N29" s="1" t="s">
        <v>204</v>
      </c>
      <c r="O29" s="1" t="s">
        <v>204</v>
      </c>
      <c r="P29" s="1" t="s">
        <v>204</v>
      </c>
      <c r="Q29" s="1" t="s">
        <v>204</v>
      </c>
      <c r="R29" s="1" t="s">
        <v>204</v>
      </c>
      <c r="S29" s="1" t="s">
        <v>204</v>
      </c>
      <c r="T29" s="1" t="s">
        <v>204</v>
      </c>
      <c r="U29" s="1" t="s">
        <v>204</v>
      </c>
      <c r="V29" s="290" t="s">
        <v>20</v>
      </c>
      <c r="W29" s="291"/>
      <c r="X29" s="1" t="s">
        <v>204</v>
      </c>
      <c r="Y29" s="1" t="s">
        <v>97</v>
      </c>
      <c r="Z29" s="1" t="s">
        <v>97</v>
      </c>
      <c r="AA29" s="1" t="s">
        <v>97</v>
      </c>
      <c r="AB29" s="1" t="s">
        <v>97</v>
      </c>
      <c r="AC29" s="1" t="s">
        <v>97</v>
      </c>
      <c r="AD29" s="1" t="s">
        <v>97</v>
      </c>
      <c r="AE29" s="1" t="s">
        <v>97</v>
      </c>
      <c r="AF29" s="1" t="s">
        <v>97</v>
      </c>
      <c r="AG29" s="1" t="s">
        <v>97</v>
      </c>
      <c r="AH29" s="1" t="s">
        <v>97</v>
      </c>
      <c r="AI29" s="1" t="s">
        <v>97</v>
      </c>
      <c r="AJ29" s="1" t="s">
        <v>97</v>
      </c>
      <c r="AK29" s="292" t="s">
        <v>15</v>
      </c>
      <c r="AL29" s="293" t="s">
        <v>205</v>
      </c>
    </row>
    <row r="30" spans="1:38" ht="19.5" customHeight="1" thickTop="1">
      <c r="A30" s="333" t="s">
        <v>100</v>
      </c>
      <c r="B30" s="334" t="s">
        <v>101</v>
      </c>
      <c r="C30" s="334" t="s">
        <v>206</v>
      </c>
      <c r="D30" s="334" t="s">
        <v>207</v>
      </c>
      <c r="E30" s="334" t="s">
        <v>208</v>
      </c>
      <c r="F30" s="334" t="s">
        <v>209</v>
      </c>
      <c r="G30" s="334" t="s">
        <v>105</v>
      </c>
      <c r="H30" s="294" t="s">
        <v>25</v>
      </c>
      <c r="I30" s="295" t="s">
        <v>210</v>
      </c>
      <c r="J30" s="295" t="s">
        <v>211</v>
      </c>
      <c r="K30" s="295" t="s">
        <v>212</v>
      </c>
      <c r="L30" s="295" t="s">
        <v>213</v>
      </c>
      <c r="M30" s="295" t="s">
        <v>214</v>
      </c>
      <c r="N30" s="295" t="s">
        <v>215</v>
      </c>
      <c r="O30" s="295" t="s">
        <v>216</v>
      </c>
      <c r="P30" s="295" t="s">
        <v>217</v>
      </c>
      <c r="Q30" s="295" t="s">
        <v>218</v>
      </c>
      <c r="R30" s="295" t="s">
        <v>219</v>
      </c>
      <c r="S30" s="295" t="s">
        <v>220</v>
      </c>
      <c r="T30" s="295" t="s">
        <v>221</v>
      </c>
      <c r="U30" s="295" t="s">
        <v>222</v>
      </c>
      <c r="V30" s="296">
        <v>-3</v>
      </c>
      <c r="W30" s="297"/>
      <c r="X30" s="295" t="s">
        <v>15</v>
      </c>
      <c r="Y30" s="295" t="s">
        <v>211</v>
      </c>
      <c r="Z30" s="295" t="s">
        <v>212</v>
      </c>
      <c r="AA30" s="295" t="s">
        <v>213</v>
      </c>
      <c r="AB30" s="295" t="s">
        <v>214</v>
      </c>
      <c r="AC30" s="295" t="s">
        <v>215</v>
      </c>
      <c r="AD30" s="295" t="s">
        <v>216</v>
      </c>
      <c r="AE30" s="295" t="s">
        <v>217</v>
      </c>
      <c r="AF30" s="295" t="s">
        <v>218</v>
      </c>
      <c r="AG30" s="295" t="s">
        <v>219</v>
      </c>
      <c r="AH30" s="295" t="s">
        <v>220</v>
      </c>
      <c r="AI30" s="295" t="s">
        <v>221</v>
      </c>
      <c r="AJ30" s="295" t="s">
        <v>222</v>
      </c>
      <c r="AK30" s="298" t="s">
        <v>97</v>
      </c>
      <c r="AL30" s="299" t="s">
        <v>15</v>
      </c>
    </row>
    <row r="31" spans="1:38" ht="19.5" customHeight="1" thickBot="1">
      <c r="A31" s="335"/>
      <c r="B31" s="336"/>
      <c r="C31" s="336" t="s">
        <v>110</v>
      </c>
      <c r="D31" s="336" t="s">
        <v>111</v>
      </c>
      <c r="E31" s="336" t="s">
        <v>112</v>
      </c>
      <c r="F31" s="336"/>
      <c r="G31" s="336"/>
      <c r="H31" s="300"/>
      <c r="I31" s="2">
        <v>-1</v>
      </c>
      <c r="J31" s="301" t="s">
        <v>34</v>
      </c>
      <c r="K31" s="301" t="s">
        <v>34</v>
      </c>
      <c r="L31" s="301" t="s">
        <v>34</v>
      </c>
      <c r="M31" s="301" t="s">
        <v>34</v>
      </c>
      <c r="N31" s="301" t="s">
        <v>34</v>
      </c>
      <c r="O31" s="301" t="s">
        <v>34</v>
      </c>
      <c r="P31" s="301" t="s">
        <v>34</v>
      </c>
      <c r="Q31" s="301" t="s">
        <v>34</v>
      </c>
      <c r="R31" s="301" t="s">
        <v>34</v>
      </c>
      <c r="S31" s="301" t="s">
        <v>34</v>
      </c>
      <c r="T31" s="301" t="s">
        <v>34</v>
      </c>
      <c r="U31" s="301" t="s">
        <v>34</v>
      </c>
      <c r="V31" s="302" t="s">
        <v>223</v>
      </c>
      <c r="W31" s="302" t="s">
        <v>224</v>
      </c>
      <c r="X31" s="2" t="s">
        <v>225</v>
      </c>
      <c r="Y31" s="2">
        <v>-5</v>
      </c>
      <c r="Z31" s="2">
        <v>-5</v>
      </c>
      <c r="AA31" s="2">
        <v>-5</v>
      </c>
      <c r="AB31" s="2">
        <v>-5</v>
      </c>
      <c r="AC31" s="2">
        <v>-5</v>
      </c>
      <c r="AD31" s="2">
        <v>-5</v>
      </c>
      <c r="AE31" s="2">
        <v>-5</v>
      </c>
      <c r="AF31" s="2">
        <v>-5</v>
      </c>
      <c r="AG31" s="2">
        <v>-5</v>
      </c>
      <c r="AH31" s="2">
        <v>-5</v>
      </c>
      <c r="AI31" s="2">
        <v>-5</v>
      </c>
      <c r="AJ31" s="2">
        <v>-5</v>
      </c>
      <c r="AK31" s="2" t="s">
        <v>226</v>
      </c>
      <c r="AL31" s="303" t="s">
        <v>227</v>
      </c>
    </row>
    <row r="32" spans="1:38" ht="19.5" customHeight="1" thickBot="1" thickTop="1">
      <c r="A32" s="304"/>
      <c r="B32" s="304"/>
      <c r="C32" s="304"/>
      <c r="D32" s="304"/>
      <c r="E32" s="304"/>
      <c r="F32" s="304"/>
      <c r="G32" s="304"/>
      <c r="H32" s="305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5"/>
      <c r="W32" s="305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5"/>
      <c r="AL32" s="304"/>
    </row>
    <row r="33" spans="1:38" ht="24.75" customHeight="1" thickBot="1" thickTop="1">
      <c r="A33" s="347" t="s">
        <v>127</v>
      </c>
      <c r="B33" s="348" t="s">
        <v>130</v>
      </c>
      <c r="C33" s="348"/>
      <c r="D33" s="348"/>
      <c r="E33" s="348"/>
      <c r="F33" s="348"/>
      <c r="G33" s="348"/>
      <c r="H33" s="349" t="s">
        <v>228</v>
      </c>
      <c r="I33" s="348">
        <f>SUM(I34:I36)</f>
        <v>1009572525</v>
      </c>
      <c r="J33" s="348">
        <f aca="true" t="shared" si="2" ref="J33:Y33">SUM(J34:J35)</f>
        <v>321897802</v>
      </c>
      <c r="K33" s="348">
        <f t="shared" si="2"/>
        <v>278690926</v>
      </c>
      <c r="L33" s="348">
        <f t="shared" si="2"/>
        <v>216034381</v>
      </c>
      <c r="M33" s="348">
        <f t="shared" si="2"/>
        <v>47514416</v>
      </c>
      <c r="N33" s="348">
        <f t="shared" si="2"/>
        <v>0</v>
      </c>
      <c r="O33" s="348">
        <f t="shared" si="2"/>
        <v>0</v>
      </c>
      <c r="P33" s="348">
        <f t="shared" si="2"/>
        <v>0</v>
      </c>
      <c r="Q33" s="348">
        <f t="shared" si="2"/>
        <v>0</v>
      </c>
      <c r="R33" s="348">
        <f t="shared" si="2"/>
        <v>0</v>
      </c>
      <c r="S33" s="348">
        <f t="shared" si="2"/>
        <v>0</v>
      </c>
      <c r="T33" s="348">
        <f t="shared" si="2"/>
        <v>0</v>
      </c>
      <c r="U33" s="348">
        <f t="shared" si="2"/>
        <v>0</v>
      </c>
      <c r="V33" s="345">
        <f t="shared" si="2"/>
        <v>0</v>
      </c>
      <c r="W33" s="345">
        <f t="shared" si="2"/>
        <v>0</v>
      </c>
      <c r="X33" s="658">
        <f t="shared" si="2"/>
        <v>864137525</v>
      </c>
      <c r="Y33" s="348">
        <f t="shared" si="2"/>
        <v>98515673</v>
      </c>
      <c r="Z33" s="348">
        <f aca="true" t="shared" si="3" ref="Z33:AL33">SUM(Z34:Z35)</f>
        <v>205106309</v>
      </c>
      <c r="AA33" s="348">
        <f t="shared" si="3"/>
        <v>238768817</v>
      </c>
      <c r="AB33" s="348">
        <f t="shared" si="3"/>
        <v>28175531</v>
      </c>
      <c r="AC33" s="348">
        <f t="shared" si="3"/>
        <v>207883179</v>
      </c>
      <c r="AD33" s="348">
        <f t="shared" si="3"/>
        <v>17377674</v>
      </c>
      <c r="AE33" s="348">
        <f t="shared" si="3"/>
        <v>14099649</v>
      </c>
      <c r="AF33" s="348">
        <f t="shared" si="3"/>
        <v>4434815</v>
      </c>
      <c r="AG33" s="348">
        <f t="shared" si="3"/>
        <v>4413200</v>
      </c>
      <c r="AH33" s="348">
        <f t="shared" si="3"/>
        <v>5079543</v>
      </c>
      <c r="AI33" s="348">
        <f t="shared" si="3"/>
        <v>4785492</v>
      </c>
      <c r="AJ33" s="348">
        <f t="shared" si="3"/>
        <v>559462</v>
      </c>
      <c r="AK33" s="345">
        <f t="shared" si="3"/>
        <v>829199344</v>
      </c>
      <c r="AL33" s="350">
        <f t="shared" si="3"/>
        <v>34938181</v>
      </c>
    </row>
    <row r="34" spans="1:38" ht="24.75" customHeight="1" thickTop="1">
      <c r="A34" s="644" t="s">
        <v>127</v>
      </c>
      <c r="B34" s="645" t="s">
        <v>130</v>
      </c>
      <c r="C34" s="375" t="s">
        <v>131</v>
      </c>
      <c r="D34" s="645" t="s">
        <v>229</v>
      </c>
      <c r="E34" s="645"/>
      <c r="F34" s="645"/>
      <c r="G34" s="646"/>
      <c r="H34" s="309" t="s">
        <v>230</v>
      </c>
      <c r="I34" s="341">
        <f>SUM(J34:W34)</f>
        <v>388993360</v>
      </c>
      <c r="J34" s="308">
        <v>155597344</v>
      </c>
      <c r="K34" s="308">
        <v>136147676</v>
      </c>
      <c r="L34" s="308">
        <v>97248340</v>
      </c>
      <c r="M34" s="308">
        <v>0</v>
      </c>
      <c r="N34" s="308">
        <v>0</v>
      </c>
      <c r="O34" s="308">
        <v>0</v>
      </c>
      <c r="P34" s="656">
        <v>0</v>
      </c>
      <c r="Q34" s="308">
        <v>0</v>
      </c>
      <c r="R34" s="308">
        <v>0</v>
      </c>
      <c r="S34" s="308">
        <v>0</v>
      </c>
      <c r="T34" s="308">
        <v>0</v>
      </c>
      <c r="U34" s="308">
        <v>0</v>
      </c>
      <c r="V34" s="310">
        <v>0</v>
      </c>
      <c r="W34" s="310">
        <v>0</v>
      </c>
      <c r="X34" s="653">
        <f>SUM($J34:U34,V34:W34)</f>
        <v>388993360</v>
      </c>
      <c r="Y34" s="652">
        <f>CxP!AK11</f>
        <v>11434200</v>
      </c>
      <c r="Z34" s="308">
        <f>CxP!AL11</f>
        <v>164099181</v>
      </c>
      <c r="AA34" s="308">
        <f>CxP!AM11</f>
        <v>0</v>
      </c>
      <c r="AB34" s="308">
        <f>CxP!AN11</f>
        <v>13239600</v>
      </c>
      <c r="AC34" s="308">
        <f>CxP!AO11</f>
        <v>168512380</v>
      </c>
      <c r="AD34" s="308">
        <f>CxP!AP11</f>
        <v>4413200</v>
      </c>
      <c r="AE34" s="308">
        <f>CxP!AQ11</f>
        <v>4413200</v>
      </c>
      <c r="AF34" s="308">
        <f>CxP!AR11</f>
        <v>4413200</v>
      </c>
      <c r="AG34" s="308">
        <f>CxP!AS11</f>
        <v>4413200</v>
      </c>
      <c r="AH34" s="308">
        <f>CxP!AT11</f>
        <v>4413200</v>
      </c>
      <c r="AI34" s="308">
        <f>CxP!AU11</f>
        <v>4413200</v>
      </c>
      <c r="AJ34" s="308">
        <f>CxP!AV11</f>
        <v>0</v>
      </c>
      <c r="AK34" s="371">
        <f>SUM(Y34:AJ34)</f>
        <v>383764561</v>
      </c>
      <c r="AL34" s="343">
        <f>X34-AK34</f>
        <v>5228799</v>
      </c>
    </row>
    <row r="35" spans="1:38" ht="24.75" customHeight="1">
      <c r="A35" s="647" t="s">
        <v>127</v>
      </c>
      <c r="B35" s="648" t="s">
        <v>130</v>
      </c>
      <c r="C35" s="376" t="s">
        <v>136</v>
      </c>
      <c r="D35" s="648" t="s">
        <v>229</v>
      </c>
      <c r="E35" s="648"/>
      <c r="F35" s="648"/>
      <c r="G35" s="649"/>
      <c r="H35" s="314" t="s">
        <v>231</v>
      </c>
      <c r="I35" s="342">
        <f>SUM(J35:W35)</f>
        <v>475144165</v>
      </c>
      <c r="J35" s="313">
        <v>166300458</v>
      </c>
      <c r="K35" s="313">
        <v>142543250</v>
      </c>
      <c r="L35" s="313">
        <v>118786041</v>
      </c>
      <c r="M35" s="313">
        <v>47514416</v>
      </c>
      <c r="N35" s="313">
        <v>0</v>
      </c>
      <c r="O35" s="313">
        <v>0</v>
      </c>
      <c r="P35" s="657">
        <v>0</v>
      </c>
      <c r="Q35" s="313">
        <v>0</v>
      </c>
      <c r="R35" s="313">
        <v>0</v>
      </c>
      <c r="S35" s="313">
        <v>0</v>
      </c>
      <c r="T35" s="313">
        <v>0</v>
      </c>
      <c r="U35" s="313">
        <v>0</v>
      </c>
      <c r="V35" s="315">
        <v>0</v>
      </c>
      <c r="W35" s="315">
        <v>0</v>
      </c>
      <c r="X35" s="653">
        <f>SUM($J35:U35,V35:W35)</f>
        <v>475144165</v>
      </c>
      <c r="Y35" s="304">
        <f>CxP!AK14</f>
        <v>87081473</v>
      </c>
      <c r="Z35" s="313">
        <f>CxP!AL14</f>
        <v>41007128</v>
      </c>
      <c r="AA35" s="313">
        <f>CxP!AM14</f>
        <v>238768817</v>
      </c>
      <c r="AB35" s="313">
        <f>CxP!AN14</f>
        <v>14935931</v>
      </c>
      <c r="AC35" s="313">
        <f>CxP!AO14</f>
        <v>39370799</v>
      </c>
      <c r="AD35" s="313">
        <f>CxP!AP14</f>
        <v>12964474</v>
      </c>
      <c r="AE35" s="313">
        <f>CxP!AQ14</f>
        <v>9686449</v>
      </c>
      <c r="AF35" s="313">
        <f>CxP!AR14</f>
        <v>21615</v>
      </c>
      <c r="AG35" s="313">
        <f>CxP!AS14</f>
        <v>0</v>
      </c>
      <c r="AH35" s="313">
        <f>CxP!AT14</f>
        <v>666343</v>
      </c>
      <c r="AI35" s="313">
        <f>CxP!AU14</f>
        <v>372292</v>
      </c>
      <c r="AJ35" s="313">
        <f>CxP!AV14</f>
        <v>559462</v>
      </c>
      <c r="AK35" s="372">
        <f>SUM(Y35:AJ35)</f>
        <v>445434783</v>
      </c>
      <c r="AL35" s="344">
        <f>X35-AK35</f>
        <v>29709382</v>
      </c>
    </row>
    <row r="36" spans="1:38" ht="24.75" customHeight="1" thickBot="1">
      <c r="A36" s="642" t="s">
        <v>127</v>
      </c>
      <c r="B36" s="313" t="s">
        <v>130</v>
      </c>
      <c r="C36" s="643" t="s">
        <v>136</v>
      </c>
      <c r="D36" s="313" t="s">
        <v>229</v>
      </c>
      <c r="E36" s="313"/>
      <c r="F36" s="313"/>
      <c r="G36" s="313"/>
      <c r="H36" s="314" t="s">
        <v>232</v>
      </c>
      <c r="I36" s="342">
        <f>SUM(J36:W36)</f>
        <v>145435000</v>
      </c>
      <c r="J36" s="313">
        <v>145435000</v>
      </c>
      <c r="K36" s="313">
        <v>0</v>
      </c>
      <c r="L36" s="313">
        <v>0</v>
      </c>
      <c r="M36" s="313">
        <v>0</v>
      </c>
      <c r="N36" s="313">
        <v>0</v>
      </c>
      <c r="O36" s="313">
        <v>0</v>
      </c>
      <c r="P36" s="643">
        <v>0</v>
      </c>
      <c r="Q36" s="313">
        <v>0</v>
      </c>
      <c r="R36" s="313">
        <v>0</v>
      </c>
      <c r="S36" s="313">
        <v>0</v>
      </c>
      <c r="T36" s="313">
        <v>0</v>
      </c>
      <c r="U36" s="313">
        <v>0</v>
      </c>
      <c r="V36" s="315">
        <v>0</v>
      </c>
      <c r="W36" s="315">
        <v>0</v>
      </c>
      <c r="X36" s="655">
        <f>SUM($J36:U36,V36:W36)</f>
        <v>145435000</v>
      </c>
      <c r="Y36" s="313">
        <f>CxP!AK18</f>
        <v>106420458</v>
      </c>
      <c r="Z36" s="313">
        <f>CxP!AL18</f>
        <v>0</v>
      </c>
      <c r="AA36" s="313">
        <f>CxP!AM18</f>
        <v>0</v>
      </c>
      <c r="AB36" s="313">
        <f>CxP!AN18</f>
        <v>0</v>
      </c>
      <c r="AC36" s="313">
        <f>CxP!AO18</f>
        <v>0</v>
      </c>
      <c r="AD36" s="313">
        <f>CxP!AP18</f>
        <v>0</v>
      </c>
      <c r="AE36" s="313">
        <f>CxP!AQ18</f>
        <v>0</v>
      </c>
      <c r="AF36" s="313">
        <f>CxP!AR18</f>
        <v>0</v>
      </c>
      <c r="AG36" s="313">
        <f>CxP!AS18</f>
        <v>0</v>
      </c>
      <c r="AH36" s="313">
        <f>CxP!AT18</f>
        <v>0</v>
      </c>
      <c r="AI36" s="313">
        <f>CxP!AU18</f>
        <v>0</v>
      </c>
      <c r="AJ36" s="313">
        <f>CxP!AV18</f>
        <v>0</v>
      </c>
      <c r="AK36" s="372">
        <f>SUM(Y36:AJ36)</f>
        <v>106420458</v>
      </c>
      <c r="AL36" s="344">
        <f>X36-AK36</f>
        <v>39014542</v>
      </c>
    </row>
    <row r="37" spans="1:38" ht="24.75" customHeight="1" thickBot="1" thickTop="1">
      <c r="A37" s="352" t="s">
        <v>169</v>
      </c>
      <c r="B37" s="353" t="s">
        <v>130</v>
      </c>
      <c r="C37" s="353" t="s">
        <v>229</v>
      </c>
      <c r="D37" s="353"/>
      <c r="E37" s="353"/>
      <c r="F37" s="353"/>
      <c r="G37" s="353"/>
      <c r="H37" s="354" t="s">
        <v>233</v>
      </c>
      <c r="I37" s="355">
        <f>SUM(J37:W37)</f>
        <v>2922302637</v>
      </c>
      <c r="J37" s="353">
        <v>1168921055</v>
      </c>
      <c r="K37" s="353">
        <v>1022805923</v>
      </c>
      <c r="L37" s="353">
        <v>730575659</v>
      </c>
      <c r="M37" s="353">
        <v>0</v>
      </c>
      <c r="N37" s="353">
        <v>0</v>
      </c>
      <c r="O37" s="353">
        <v>0</v>
      </c>
      <c r="P37" s="353">
        <v>0</v>
      </c>
      <c r="Q37" s="353">
        <v>0</v>
      </c>
      <c r="R37" s="353">
        <v>0</v>
      </c>
      <c r="S37" s="353">
        <v>0</v>
      </c>
      <c r="T37" s="353">
        <v>0</v>
      </c>
      <c r="U37" s="353">
        <v>0</v>
      </c>
      <c r="V37" s="356">
        <v>0</v>
      </c>
      <c r="W37" s="356">
        <v>0</v>
      </c>
      <c r="X37" s="369">
        <f>SUM($J37:U37,V37:W37)</f>
        <v>2922302637</v>
      </c>
      <c r="Y37" s="353">
        <f>'Res.Presupuestal'!AK12+CxP!AK25</f>
        <v>268266059</v>
      </c>
      <c r="Z37" s="353">
        <f>'Res.Presupuestal'!AL12+CxP!AL25</f>
        <v>887706367</v>
      </c>
      <c r="AA37" s="353">
        <f>'Res.Presupuestal'!AM12+CxP!AM25</f>
        <v>122829470</v>
      </c>
      <c r="AB37" s="353">
        <f>'Res.Presupuestal'!AN12+CxP!AN25</f>
        <v>43122446</v>
      </c>
      <c r="AC37" s="353">
        <f>'Res.Presupuestal'!AO12+CxP!AO25</f>
        <v>586771508</v>
      </c>
      <c r="AD37" s="353">
        <f>'Res.Presupuestal'!AP12+CxP!AP25</f>
        <v>162311314</v>
      </c>
      <c r="AE37" s="353">
        <f>'Res.Presupuestal'!AQ12+CxP!AQ25</f>
        <v>387580114</v>
      </c>
      <c r="AF37" s="353">
        <f>'Res.Presupuestal'!AR12+CxP!AR25</f>
        <v>10287278</v>
      </c>
      <c r="AG37" s="353">
        <f>'Res.Presupuestal'!AS12+CxP!AS25</f>
        <v>0</v>
      </c>
      <c r="AH37" s="353">
        <f>'Res.Presupuestal'!AT12+CxP!AT25</f>
        <v>10521857</v>
      </c>
      <c r="AI37" s="353">
        <f>'Res.Presupuestal'!AU12+CxP!AU25</f>
        <v>9715795</v>
      </c>
      <c r="AJ37" s="353">
        <f>'Res.Presupuestal'!AV12+CxP!AV25</f>
        <v>53068900</v>
      </c>
      <c r="AK37" s="373">
        <f>SUM(Y37:AJ37)</f>
        <v>2542181108</v>
      </c>
      <c r="AL37" s="357">
        <f>X37-AK37</f>
        <v>380121529</v>
      </c>
    </row>
    <row r="38" spans="1:38" ht="19.5" customHeight="1" thickBot="1" thickTop="1">
      <c r="A38" s="284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</row>
    <row r="39" spans="1:38" ht="24.75" customHeight="1" thickBot="1" thickTop="1">
      <c r="A39" s="358"/>
      <c r="B39" s="359"/>
      <c r="C39" s="359"/>
      <c r="D39" s="359"/>
      <c r="E39" s="359"/>
      <c r="F39" s="359"/>
      <c r="G39" s="360"/>
      <c r="H39" s="361" t="s">
        <v>234</v>
      </c>
      <c r="I39" s="362">
        <f aca="true" t="shared" si="4" ref="I39:X39">SUM(I34:I37)</f>
        <v>3931875162</v>
      </c>
      <c r="J39" s="362">
        <f t="shared" si="4"/>
        <v>1636253857</v>
      </c>
      <c r="K39" s="362">
        <f t="shared" si="4"/>
        <v>1301496849</v>
      </c>
      <c r="L39" s="362">
        <f t="shared" si="4"/>
        <v>946610040</v>
      </c>
      <c r="M39" s="362">
        <f t="shared" si="4"/>
        <v>47514416</v>
      </c>
      <c r="N39" s="362">
        <f t="shared" si="4"/>
        <v>0</v>
      </c>
      <c r="O39" s="362">
        <f t="shared" si="4"/>
        <v>0</v>
      </c>
      <c r="P39" s="362">
        <f t="shared" si="4"/>
        <v>0</v>
      </c>
      <c r="Q39" s="362">
        <f t="shared" si="4"/>
        <v>0</v>
      </c>
      <c r="R39" s="362">
        <f t="shared" si="4"/>
        <v>0</v>
      </c>
      <c r="S39" s="362">
        <f t="shared" si="4"/>
        <v>0</v>
      </c>
      <c r="T39" s="362">
        <f t="shared" si="4"/>
        <v>0</v>
      </c>
      <c r="U39" s="362">
        <f t="shared" si="4"/>
        <v>0</v>
      </c>
      <c r="V39" s="346">
        <f t="shared" si="4"/>
        <v>0</v>
      </c>
      <c r="W39" s="346">
        <f t="shared" si="4"/>
        <v>0</v>
      </c>
      <c r="X39" s="362">
        <f t="shared" si="4"/>
        <v>3931875162</v>
      </c>
      <c r="Y39" s="362">
        <f>SUM(Y34:Y37)</f>
        <v>473202190</v>
      </c>
      <c r="Z39" s="362">
        <f aca="true" t="shared" si="5" ref="Z39:AL39">SUM(Z34:Z37)</f>
        <v>1092812676</v>
      </c>
      <c r="AA39" s="362">
        <f t="shared" si="5"/>
        <v>361598287</v>
      </c>
      <c r="AB39" s="362">
        <f t="shared" si="5"/>
        <v>71297977</v>
      </c>
      <c r="AC39" s="362">
        <f t="shared" si="5"/>
        <v>794654687</v>
      </c>
      <c r="AD39" s="362">
        <f t="shared" si="5"/>
        <v>179688988</v>
      </c>
      <c r="AE39" s="362">
        <f t="shared" si="5"/>
        <v>401679763</v>
      </c>
      <c r="AF39" s="362">
        <f t="shared" si="5"/>
        <v>14722093</v>
      </c>
      <c r="AG39" s="362">
        <f t="shared" si="5"/>
        <v>4413200</v>
      </c>
      <c r="AH39" s="362">
        <f t="shared" si="5"/>
        <v>15601400</v>
      </c>
      <c r="AI39" s="362">
        <f t="shared" si="5"/>
        <v>14501287</v>
      </c>
      <c r="AJ39" s="362">
        <f t="shared" si="5"/>
        <v>53628362</v>
      </c>
      <c r="AK39" s="346">
        <f t="shared" si="5"/>
        <v>3477800910</v>
      </c>
      <c r="AL39" s="363">
        <f t="shared" si="5"/>
        <v>454074252</v>
      </c>
    </row>
    <row r="40" spans="1:38" ht="19.5" customHeight="1" thickTop="1">
      <c r="A40" s="284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</row>
    <row r="41" spans="1:38" ht="19.5" customHeight="1" thickBot="1">
      <c r="A41" s="285" t="s">
        <v>282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</row>
    <row r="42" spans="1:38" ht="19.5" customHeight="1" thickBot="1" thickTop="1">
      <c r="A42" s="316" t="s">
        <v>92</v>
      </c>
      <c r="B42" s="317"/>
      <c r="C42" s="317"/>
      <c r="D42" s="317"/>
      <c r="E42" s="317"/>
      <c r="F42" s="317"/>
      <c r="G42" s="317"/>
      <c r="H42" s="318"/>
      <c r="I42" s="221" t="s">
        <v>204</v>
      </c>
      <c r="J42" s="221" t="s">
        <v>204</v>
      </c>
      <c r="K42" s="221" t="s">
        <v>204</v>
      </c>
      <c r="L42" s="221" t="s">
        <v>204</v>
      </c>
      <c r="M42" s="221" t="s">
        <v>204</v>
      </c>
      <c r="N42" s="221" t="s">
        <v>204</v>
      </c>
      <c r="O42" s="221" t="s">
        <v>204</v>
      </c>
      <c r="P42" s="221" t="s">
        <v>204</v>
      </c>
      <c r="Q42" s="221" t="s">
        <v>204</v>
      </c>
      <c r="R42" s="221" t="s">
        <v>204</v>
      </c>
      <c r="S42" s="221" t="s">
        <v>204</v>
      </c>
      <c r="T42" s="221" t="s">
        <v>204</v>
      </c>
      <c r="U42" s="221" t="s">
        <v>204</v>
      </c>
      <c r="V42" s="319" t="s">
        <v>20</v>
      </c>
      <c r="W42" s="320"/>
      <c r="X42" s="221" t="s">
        <v>204</v>
      </c>
      <c r="Y42" s="221" t="s">
        <v>97</v>
      </c>
      <c r="Z42" s="221" t="s">
        <v>97</v>
      </c>
      <c r="AA42" s="221" t="s">
        <v>97</v>
      </c>
      <c r="AB42" s="221" t="s">
        <v>97</v>
      </c>
      <c r="AC42" s="221" t="s">
        <v>97</v>
      </c>
      <c r="AD42" s="221" t="s">
        <v>97</v>
      </c>
      <c r="AE42" s="221" t="s">
        <v>97</v>
      </c>
      <c r="AF42" s="221" t="s">
        <v>97</v>
      </c>
      <c r="AG42" s="221" t="s">
        <v>97</v>
      </c>
      <c r="AH42" s="221" t="s">
        <v>97</v>
      </c>
      <c r="AI42" s="221" t="s">
        <v>97</v>
      </c>
      <c r="AJ42" s="221" t="s">
        <v>97</v>
      </c>
      <c r="AK42" s="321" t="s">
        <v>15</v>
      </c>
      <c r="AL42" s="322" t="s">
        <v>205</v>
      </c>
    </row>
    <row r="43" spans="1:38" ht="19.5" customHeight="1" thickTop="1">
      <c r="A43" s="337" t="s">
        <v>100</v>
      </c>
      <c r="B43" s="338" t="s">
        <v>101</v>
      </c>
      <c r="C43" s="338" t="s">
        <v>206</v>
      </c>
      <c r="D43" s="338" t="s">
        <v>207</v>
      </c>
      <c r="E43" s="338" t="s">
        <v>208</v>
      </c>
      <c r="F43" s="338" t="s">
        <v>209</v>
      </c>
      <c r="G43" s="338" t="s">
        <v>105</v>
      </c>
      <c r="H43" s="323" t="s">
        <v>25</v>
      </c>
      <c r="I43" s="324" t="s">
        <v>30</v>
      </c>
      <c r="J43" s="324" t="s">
        <v>211</v>
      </c>
      <c r="K43" s="324" t="s">
        <v>212</v>
      </c>
      <c r="L43" s="324" t="s">
        <v>213</v>
      </c>
      <c r="M43" s="324" t="s">
        <v>214</v>
      </c>
      <c r="N43" s="324" t="s">
        <v>215</v>
      </c>
      <c r="O43" s="324" t="s">
        <v>216</v>
      </c>
      <c r="P43" s="324" t="s">
        <v>217</v>
      </c>
      <c r="Q43" s="324" t="s">
        <v>218</v>
      </c>
      <c r="R43" s="324" t="s">
        <v>219</v>
      </c>
      <c r="S43" s="324" t="s">
        <v>220</v>
      </c>
      <c r="T43" s="324" t="s">
        <v>221</v>
      </c>
      <c r="U43" s="324" t="s">
        <v>222</v>
      </c>
      <c r="V43" s="325">
        <v>-3</v>
      </c>
      <c r="W43" s="326"/>
      <c r="X43" s="324" t="s">
        <v>15</v>
      </c>
      <c r="Y43" s="324" t="s">
        <v>211</v>
      </c>
      <c r="Z43" s="324" t="s">
        <v>212</v>
      </c>
      <c r="AA43" s="324" t="s">
        <v>213</v>
      </c>
      <c r="AB43" s="324" t="s">
        <v>214</v>
      </c>
      <c r="AC43" s="324" t="s">
        <v>215</v>
      </c>
      <c r="AD43" s="324" t="s">
        <v>216</v>
      </c>
      <c r="AE43" s="324" t="s">
        <v>217</v>
      </c>
      <c r="AF43" s="324" t="s">
        <v>218</v>
      </c>
      <c r="AG43" s="324" t="s">
        <v>219</v>
      </c>
      <c r="AH43" s="324" t="s">
        <v>220</v>
      </c>
      <c r="AI43" s="324" t="s">
        <v>221</v>
      </c>
      <c r="AJ43" s="324" t="s">
        <v>222</v>
      </c>
      <c r="AK43" s="327" t="s">
        <v>97</v>
      </c>
      <c r="AL43" s="328" t="s">
        <v>15</v>
      </c>
    </row>
    <row r="44" spans="1:38" ht="19.5" customHeight="1" thickBot="1">
      <c r="A44" s="339"/>
      <c r="B44" s="340"/>
      <c r="C44" s="340" t="s">
        <v>110</v>
      </c>
      <c r="D44" s="340" t="s">
        <v>111</v>
      </c>
      <c r="E44" s="340" t="s">
        <v>112</v>
      </c>
      <c r="F44" s="340"/>
      <c r="G44" s="340"/>
      <c r="H44" s="329"/>
      <c r="I44" s="222">
        <v>-1</v>
      </c>
      <c r="J44" s="330" t="s">
        <v>34</v>
      </c>
      <c r="K44" s="330" t="s">
        <v>34</v>
      </c>
      <c r="L44" s="330" t="s">
        <v>34</v>
      </c>
      <c r="M44" s="330" t="s">
        <v>34</v>
      </c>
      <c r="N44" s="330" t="s">
        <v>34</v>
      </c>
      <c r="O44" s="330" t="s">
        <v>34</v>
      </c>
      <c r="P44" s="330" t="s">
        <v>34</v>
      </c>
      <c r="Q44" s="330" t="s">
        <v>34</v>
      </c>
      <c r="R44" s="330" t="s">
        <v>34</v>
      </c>
      <c r="S44" s="330" t="s">
        <v>34</v>
      </c>
      <c r="T44" s="330" t="s">
        <v>34</v>
      </c>
      <c r="U44" s="330" t="s">
        <v>34</v>
      </c>
      <c r="V44" s="331" t="s">
        <v>223</v>
      </c>
      <c r="W44" s="331" t="s">
        <v>224</v>
      </c>
      <c r="X44" s="222" t="s">
        <v>225</v>
      </c>
      <c r="Y44" s="222">
        <v>-5</v>
      </c>
      <c r="Z44" s="222">
        <v>-5</v>
      </c>
      <c r="AA44" s="222">
        <v>-5</v>
      </c>
      <c r="AB44" s="222">
        <v>-5</v>
      </c>
      <c r="AC44" s="222">
        <v>-5</v>
      </c>
      <c r="AD44" s="222">
        <v>-5</v>
      </c>
      <c r="AE44" s="222">
        <v>-5</v>
      </c>
      <c r="AF44" s="222">
        <v>-5</v>
      </c>
      <c r="AG44" s="222">
        <v>-5</v>
      </c>
      <c r="AH44" s="222">
        <v>-5</v>
      </c>
      <c r="AI44" s="222">
        <v>-5</v>
      </c>
      <c r="AJ44" s="222">
        <v>-5</v>
      </c>
      <c r="AK44" s="222" t="s">
        <v>226</v>
      </c>
      <c r="AL44" s="332" t="s">
        <v>227</v>
      </c>
    </row>
    <row r="45" spans="1:38" ht="19.5" customHeight="1" thickBot="1" thickTop="1">
      <c r="A45" s="304"/>
      <c r="B45" s="304"/>
      <c r="C45" s="304"/>
      <c r="D45" s="304"/>
      <c r="E45" s="304"/>
      <c r="F45" s="304"/>
      <c r="G45" s="304"/>
      <c r="H45" s="305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5"/>
      <c r="W45" s="305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5"/>
      <c r="AL45" s="304"/>
    </row>
    <row r="46" spans="1:38" ht="24.75" customHeight="1" thickBot="1" thickTop="1">
      <c r="A46" s="364" t="s">
        <v>169</v>
      </c>
      <c r="B46" s="365" t="s">
        <v>130</v>
      </c>
      <c r="C46" s="365" t="s">
        <v>229</v>
      </c>
      <c r="D46" s="365"/>
      <c r="E46" s="365"/>
      <c r="F46" s="365"/>
      <c r="G46" s="365"/>
      <c r="H46" s="366" t="s">
        <v>233</v>
      </c>
      <c r="I46" s="367">
        <f>SUM(J46:V46)</f>
        <v>7077497906</v>
      </c>
      <c r="J46" s="365">
        <v>3819713072</v>
      </c>
      <c r="K46" s="365">
        <v>0</v>
      </c>
      <c r="L46" s="365">
        <v>940609641</v>
      </c>
      <c r="M46" s="365">
        <v>712906193</v>
      </c>
      <c r="N46" s="365">
        <v>488237015</v>
      </c>
      <c r="O46" s="365">
        <v>373121271</v>
      </c>
      <c r="P46" s="365">
        <v>182934296</v>
      </c>
      <c r="Q46" s="365">
        <v>179053516</v>
      </c>
      <c r="R46" s="365">
        <v>266428971</v>
      </c>
      <c r="S46" s="365">
        <v>35975000</v>
      </c>
      <c r="T46" s="365">
        <v>69570848</v>
      </c>
      <c r="U46" s="365">
        <v>8948083</v>
      </c>
      <c r="V46" s="368"/>
      <c r="W46" s="368">
        <v>0</v>
      </c>
      <c r="X46" s="651">
        <f>SUM($J46:U46,V46:W46)</f>
        <v>7077497906</v>
      </c>
      <c r="Y46" s="365">
        <f>CxP!AK31</f>
        <v>0</v>
      </c>
      <c r="Z46" s="365">
        <f>CxP!AL31</f>
        <v>3760062991</v>
      </c>
      <c r="AA46" s="365">
        <f>CxP!AM31</f>
        <v>899952641</v>
      </c>
      <c r="AB46" s="365">
        <f>CxP!AN31</f>
        <v>701387881</v>
      </c>
      <c r="AC46" s="365">
        <f>CxP!AO31</f>
        <v>549803039</v>
      </c>
      <c r="AD46" s="365">
        <f>CxP!AP31</f>
        <v>253054271</v>
      </c>
      <c r="AE46" s="365">
        <f>CxP!AQ31</f>
        <v>230688296</v>
      </c>
      <c r="AF46" s="365">
        <f>CxP!AR31</f>
        <v>235604916</v>
      </c>
      <c r="AG46" s="365">
        <f>CxP!AS31</f>
        <v>269135563</v>
      </c>
      <c r="AH46" s="365">
        <f>CxP!AT31</f>
        <v>5312000</v>
      </c>
      <c r="AI46" s="365">
        <f>CxP!AU31</f>
        <v>124406848</v>
      </c>
      <c r="AJ46" s="365">
        <f>CxP!AV31</f>
        <v>47149638</v>
      </c>
      <c r="AK46" s="374">
        <f>SUM(Y46:AJ46)</f>
        <v>7076558084</v>
      </c>
      <c r="AL46" s="363">
        <f>X46-AK46</f>
        <v>939822</v>
      </c>
    </row>
    <row r="47" ht="19.5" customHeight="1" thickTop="1"/>
  </sheetData>
  <sheetProtection/>
  <printOptions horizontalCentered="1" verticalCentered="1"/>
  <pageMargins left="1.1811023622047245" right="0.7480314960629921" top="0.42" bottom="0.95" header="0.13" footer="0.33"/>
  <pageSetup fitToHeight="1" fitToWidth="1" horizontalDpi="300" verticalDpi="300" orientation="landscape" paperSize="9" scale="51" r:id="rId2"/>
  <headerFooter alignWithMargins="0">
    <oddHeader>&amp;L                                GPR-&amp;D&amp;C&amp;16INFORME EJECUCIÓN DEL PAC VIGENCIA Y CUENTAS POR PAGAR&amp;RPág. &amp;P/&amp;N</oddHeader>
    <oddFooter xml:space="preserve">&amp;L&amp;16DURAN ROA CARVAJAL
Jefe de Presupuesto &amp;C&amp;16MARTA LUCIA VILLEGAS BOTERO
Directora General &amp;R&amp;16LUZ MARINA CARREÑO MORENO 
Subdirectora Financiera (E)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Y47"/>
  <sheetViews>
    <sheetView showGridLines="0" zoomScale="80" zoomScaleNormal="80" zoomScalePageLayoutView="0" workbookViewId="0" topLeftCell="E1">
      <pane xSplit="3" ySplit="9" topLeftCell="W10" activePane="bottomRight" state="frozen"/>
      <selection pane="topLeft" activeCell="K25" sqref="K25"/>
      <selection pane="topRight" activeCell="K25" sqref="K25"/>
      <selection pane="bottomLeft" activeCell="K25" sqref="K25"/>
      <selection pane="bottomRight" activeCell="K25" sqref="K25"/>
    </sheetView>
  </sheetViews>
  <sheetFormatPr defaultColWidth="18.7109375" defaultRowHeight="12.75"/>
  <cols>
    <col min="1" max="1" width="3.00390625" style="100" customWidth="1"/>
    <col min="2" max="2" width="4.7109375" style="100" customWidth="1"/>
    <col min="3" max="5" width="6.7109375" style="100" customWidth="1"/>
    <col min="6" max="6" width="4.7109375" style="100" customWidth="1"/>
    <col min="7" max="7" width="55.7109375" style="102" customWidth="1"/>
    <col min="8" max="10" width="18.7109375" style="97" customWidth="1"/>
    <col min="11" max="16" width="18.7109375" style="97" hidden="1" customWidth="1"/>
    <col min="17" max="17" width="18.7109375" style="103" hidden="1" customWidth="1"/>
    <col min="18" max="22" width="18.7109375" style="97" hidden="1" customWidth="1"/>
    <col min="23" max="23" width="18.7109375" style="101" customWidth="1"/>
    <col min="24" max="29" width="18.7109375" style="97" hidden="1" customWidth="1"/>
    <col min="30" max="30" width="18.7109375" style="103" hidden="1" customWidth="1"/>
    <col min="31" max="35" width="18.7109375" style="97" hidden="1" customWidth="1"/>
    <col min="36" max="36" width="18.7109375" style="101" customWidth="1"/>
    <col min="37" max="42" width="18.7109375" style="97" hidden="1" customWidth="1"/>
    <col min="43" max="43" width="18.7109375" style="103" hidden="1" customWidth="1"/>
    <col min="44" max="48" width="18.7109375" style="97" hidden="1" customWidth="1"/>
    <col min="49" max="49" width="18.7109375" style="101" customWidth="1"/>
    <col min="50" max="50" width="18.7109375" style="97" customWidth="1"/>
    <col min="51" max="16384" width="18.7109375" style="97" customWidth="1"/>
  </cols>
  <sheetData>
    <row r="1" spans="1:51" ht="24" customHeight="1">
      <c r="A1" s="91"/>
      <c r="B1" s="106"/>
      <c r="C1" s="28"/>
      <c r="D1" s="106"/>
      <c r="E1" s="106"/>
      <c r="F1" s="106"/>
      <c r="G1" s="92"/>
      <c r="H1" s="223" t="s">
        <v>279</v>
      </c>
      <c r="I1" s="224" t="s">
        <v>1</v>
      </c>
      <c r="J1" s="227" t="s">
        <v>2</v>
      </c>
      <c r="K1" s="117" t="s">
        <v>3</v>
      </c>
      <c r="L1" s="118" t="s">
        <v>4</v>
      </c>
      <c r="M1" s="118" t="s">
        <v>5</v>
      </c>
      <c r="N1" s="118" t="s">
        <v>6</v>
      </c>
      <c r="O1" s="118" t="s">
        <v>7</v>
      </c>
      <c r="P1" s="118" t="s">
        <v>8</v>
      </c>
      <c r="Q1" s="119" t="s">
        <v>9</v>
      </c>
      <c r="R1" s="118" t="s">
        <v>10</v>
      </c>
      <c r="S1" s="118" t="s">
        <v>11</v>
      </c>
      <c r="T1" s="118" t="s">
        <v>12</v>
      </c>
      <c r="U1" s="118" t="s">
        <v>13</v>
      </c>
      <c r="V1" s="118" t="s">
        <v>14</v>
      </c>
      <c r="W1" s="252" t="s">
        <v>15</v>
      </c>
      <c r="X1" s="117" t="s">
        <v>3</v>
      </c>
      <c r="Y1" s="118" t="s">
        <v>4</v>
      </c>
      <c r="Z1" s="118" t="s">
        <v>5</v>
      </c>
      <c r="AA1" s="118" t="s">
        <v>6</v>
      </c>
      <c r="AB1" s="118" t="s">
        <v>7</v>
      </c>
      <c r="AC1" s="118" t="s">
        <v>8</v>
      </c>
      <c r="AD1" s="119" t="s">
        <v>9</v>
      </c>
      <c r="AE1" s="118" t="s">
        <v>10</v>
      </c>
      <c r="AF1" s="118" t="s">
        <v>11</v>
      </c>
      <c r="AG1" s="118" t="s">
        <v>12</v>
      </c>
      <c r="AH1" s="118" t="s">
        <v>13</v>
      </c>
      <c r="AI1" s="118" t="s">
        <v>14</v>
      </c>
      <c r="AJ1" s="252" t="s">
        <v>15</v>
      </c>
      <c r="AK1" s="117" t="s">
        <v>3</v>
      </c>
      <c r="AL1" s="185" t="s">
        <v>4</v>
      </c>
      <c r="AM1" s="185" t="s">
        <v>5</v>
      </c>
      <c r="AN1" s="185" t="s">
        <v>6</v>
      </c>
      <c r="AO1" s="185" t="s">
        <v>7</v>
      </c>
      <c r="AP1" s="185" t="s">
        <v>8</v>
      </c>
      <c r="AQ1" s="186" t="s">
        <v>9</v>
      </c>
      <c r="AR1" s="185" t="s">
        <v>10</v>
      </c>
      <c r="AS1" s="185" t="s">
        <v>11</v>
      </c>
      <c r="AT1" s="185" t="s">
        <v>12</v>
      </c>
      <c r="AU1" s="185" t="s">
        <v>13</v>
      </c>
      <c r="AV1" s="185" t="s">
        <v>14</v>
      </c>
      <c r="AW1" s="260" t="s">
        <v>15</v>
      </c>
      <c r="AX1" s="678" t="s">
        <v>16</v>
      </c>
      <c r="AY1" s="679"/>
    </row>
    <row r="2" spans="1:51" ht="24" customHeight="1" thickBot="1">
      <c r="A2" s="93"/>
      <c r="B2" s="107"/>
      <c r="C2" s="5"/>
      <c r="D2" s="107"/>
      <c r="E2" s="107"/>
      <c r="F2" s="107"/>
      <c r="G2" s="94"/>
      <c r="H2" s="228" t="s">
        <v>17</v>
      </c>
      <c r="I2" s="229" t="s">
        <v>252</v>
      </c>
      <c r="J2" s="233" t="s">
        <v>18</v>
      </c>
      <c r="K2" s="120" t="s">
        <v>259</v>
      </c>
      <c r="L2" s="121" t="s">
        <v>259</v>
      </c>
      <c r="M2" s="121" t="s">
        <v>259</v>
      </c>
      <c r="N2" s="121" t="s">
        <v>259</v>
      </c>
      <c r="O2" s="121" t="s">
        <v>259</v>
      </c>
      <c r="P2" s="121" t="s">
        <v>259</v>
      </c>
      <c r="Q2" s="121" t="s">
        <v>259</v>
      </c>
      <c r="R2" s="121" t="s">
        <v>259</v>
      </c>
      <c r="S2" s="121" t="s">
        <v>259</v>
      </c>
      <c r="T2" s="121" t="s">
        <v>259</v>
      </c>
      <c r="U2" s="121" t="s">
        <v>259</v>
      </c>
      <c r="V2" s="121" t="s">
        <v>259</v>
      </c>
      <c r="W2" s="253" t="s">
        <v>259</v>
      </c>
      <c r="X2" s="120">
        <v>2002</v>
      </c>
      <c r="Y2" s="121" t="s">
        <v>259</v>
      </c>
      <c r="Z2" s="121">
        <v>2002</v>
      </c>
      <c r="AA2" s="121">
        <v>2002</v>
      </c>
      <c r="AB2" s="121" t="s">
        <v>259</v>
      </c>
      <c r="AC2" s="121" t="s">
        <v>259</v>
      </c>
      <c r="AD2" s="121" t="s">
        <v>259</v>
      </c>
      <c r="AE2" s="121" t="s">
        <v>259</v>
      </c>
      <c r="AF2" s="121" t="s">
        <v>259</v>
      </c>
      <c r="AG2" s="121" t="s">
        <v>259</v>
      </c>
      <c r="AH2" s="121" t="s">
        <v>259</v>
      </c>
      <c r="AI2" s="121" t="s">
        <v>259</v>
      </c>
      <c r="AJ2" s="253" t="s">
        <v>259</v>
      </c>
      <c r="AK2" s="120" t="s">
        <v>259</v>
      </c>
      <c r="AL2" s="187" t="s">
        <v>259</v>
      </c>
      <c r="AM2" s="187" t="s">
        <v>259</v>
      </c>
      <c r="AN2" s="187" t="s">
        <v>259</v>
      </c>
      <c r="AO2" s="187" t="s">
        <v>259</v>
      </c>
      <c r="AP2" s="187" t="s">
        <v>259</v>
      </c>
      <c r="AQ2" s="188" t="s">
        <v>259</v>
      </c>
      <c r="AR2" s="187" t="s">
        <v>259</v>
      </c>
      <c r="AS2" s="187">
        <v>2002</v>
      </c>
      <c r="AT2" s="187" t="s">
        <v>259</v>
      </c>
      <c r="AU2" s="187">
        <v>2002</v>
      </c>
      <c r="AV2" s="187">
        <v>2002</v>
      </c>
      <c r="AW2" s="261" t="s">
        <v>259</v>
      </c>
      <c r="AX2" s="680">
        <f ca="1">TODAY()</f>
        <v>41229</v>
      </c>
      <c r="AY2" s="681"/>
    </row>
    <row r="3" spans="1:51" ht="13.5" thickBot="1">
      <c r="A3" s="38"/>
      <c r="B3" s="38"/>
      <c r="C3" s="38"/>
      <c r="D3" s="38"/>
      <c r="E3" s="38"/>
      <c r="F3" s="38"/>
      <c r="G3" s="39"/>
      <c r="H3" s="36"/>
      <c r="I3" s="36"/>
      <c r="J3" s="36"/>
      <c r="K3" s="36"/>
      <c r="L3" s="36"/>
      <c r="M3" s="36"/>
      <c r="N3" s="36"/>
      <c r="O3" s="36"/>
      <c r="P3" s="36"/>
      <c r="Q3" s="40"/>
      <c r="R3" s="36"/>
      <c r="S3" s="36"/>
      <c r="T3" s="36"/>
      <c r="U3" s="36"/>
      <c r="V3" s="36"/>
      <c r="W3" s="254"/>
      <c r="X3" s="36"/>
      <c r="Y3" s="36"/>
      <c r="Z3" s="36"/>
      <c r="AA3" s="36"/>
      <c r="AB3" s="36"/>
      <c r="AC3" s="36"/>
      <c r="AD3" s="40"/>
      <c r="AE3" s="36"/>
      <c r="AF3" s="36"/>
      <c r="AG3" s="36"/>
      <c r="AH3" s="36"/>
      <c r="AI3" s="36"/>
      <c r="AJ3" s="254"/>
      <c r="AK3" s="36"/>
      <c r="AL3" s="36"/>
      <c r="AM3" s="36"/>
      <c r="AN3" s="36"/>
      <c r="AO3" s="36"/>
      <c r="AP3" s="36"/>
      <c r="AQ3" s="40"/>
      <c r="AR3" s="36"/>
      <c r="AS3" s="36"/>
      <c r="AT3" s="36"/>
      <c r="AU3" s="36"/>
      <c r="AV3" s="36"/>
      <c r="AW3" s="254"/>
      <c r="AX3" s="36"/>
      <c r="AY3" s="36"/>
    </row>
    <row r="4" spans="1:51" ht="12.75">
      <c r="A4" s="138" t="s">
        <v>92</v>
      </c>
      <c r="B4" s="139"/>
      <c r="C4" s="139"/>
      <c r="D4" s="139"/>
      <c r="E4" s="139"/>
      <c r="F4" s="139"/>
      <c r="G4" s="140"/>
      <c r="H4" s="142" t="s">
        <v>93</v>
      </c>
      <c r="I4" s="142" t="s">
        <v>94</v>
      </c>
      <c r="J4" s="143" t="s">
        <v>93</v>
      </c>
      <c r="K4" s="141" t="s">
        <v>95</v>
      </c>
      <c r="L4" s="144" t="s">
        <v>95</v>
      </c>
      <c r="M4" s="144" t="s">
        <v>95</v>
      </c>
      <c r="N4" s="144" t="s">
        <v>95</v>
      </c>
      <c r="O4" s="144" t="s">
        <v>95</v>
      </c>
      <c r="P4" s="144" t="s">
        <v>95</v>
      </c>
      <c r="Q4" s="145" t="s">
        <v>95</v>
      </c>
      <c r="R4" s="144" t="s">
        <v>95</v>
      </c>
      <c r="S4" s="144" t="s">
        <v>95</v>
      </c>
      <c r="T4" s="144" t="s">
        <v>95</v>
      </c>
      <c r="U4" s="144" t="s">
        <v>95</v>
      </c>
      <c r="V4" s="144" t="s">
        <v>95</v>
      </c>
      <c r="W4" s="255" t="s">
        <v>95</v>
      </c>
      <c r="X4" s="141" t="s">
        <v>96</v>
      </c>
      <c r="Y4" s="144" t="s">
        <v>96</v>
      </c>
      <c r="Z4" s="144" t="s">
        <v>96</v>
      </c>
      <c r="AA4" s="144" t="s">
        <v>96</v>
      </c>
      <c r="AB4" s="144" t="s">
        <v>96</v>
      </c>
      <c r="AC4" s="144" t="s">
        <v>96</v>
      </c>
      <c r="AD4" s="145" t="s">
        <v>96</v>
      </c>
      <c r="AE4" s="144" t="s">
        <v>96</v>
      </c>
      <c r="AF4" s="144" t="s">
        <v>96</v>
      </c>
      <c r="AG4" s="144" t="s">
        <v>96</v>
      </c>
      <c r="AH4" s="144" t="s">
        <v>96</v>
      </c>
      <c r="AI4" s="144" t="s">
        <v>96</v>
      </c>
      <c r="AJ4" s="255" t="s">
        <v>96</v>
      </c>
      <c r="AK4" s="141" t="s">
        <v>97</v>
      </c>
      <c r="AL4" s="164" t="s">
        <v>97</v>
      </c>
      <c r="AM4" s="164" t="s">
        <v>97</v>
      </c>
      <c r="AN4" s="164" t="s">
        <v>97</v>
      </c>
      <c r="AO4" s="164" t="s">
        <v>97</v>
      </c>
      <c r="AP4" s="164" t="s">
        <v>97</v>
      </c>
      <c r="AQ4" s="165" t="s">
        <v>97</v>
      </c>
      <c r="AR4" s="164" t="s">
        <v>97</v>
      </c>
      <c r="AS4" s="164" t="s">
        <v>97</v>
      </c>
      <c r="AT4" s="164" t="s">
        <v>97</v>
      </c>
      <c r="AU4" s="164" t="s">
        <v>97</v>
      </c>
      <c r="AV4" s="164" t="s">
        <v>97</v>
      </c>
      <c r="AW4" s="262" t="s">
        <v>97</v>
      </c>
      <c r="AX4" s="141" t="s">
        <v>23</v>
      </c>
      <c r="AY4" s="143" t="s">
        <v>99</v>
      </c>
    </row>
    <row r="5" spans="1:51" ht="12.75">
      <c r="A5" s="146" t="s">
        <v>100</v>
      </c>
      <c r="B5" s="147" t="s">
        <v>101</v>
      </c>
      <c r="C5" s="148" t="s">
        <v>102</v>
      </c>
      <c r="D5" s="147" t="s">
        <v>103</v>
      </c>
      <c r="E5" s="147" t="s">
        <v>104</v>
      </c>
      <c r="F5" s="147" t="s">
        <v>105</v>
      </c>
      <c r="G5" s="149" t="s">
        <v>25</v>
      </c>
      <c r="H5" s="390" t="s">
        <v>27</v>
      </c>
      <c r="I5" s="391"/>
      <c r="J5" s="152" t="s">
        <v>107</v>
      </c>
      <c r="K5" s="150" t="s">
        <v>3</v>
      </c>
      <c r="L5" s="153" t="s">
        <v>4</v>
      </c>
      <c r="M5" s="153" t="s">
        <v>5</v>
      </c>
      <c r="N5" s="153" t="s">
        <v>6</v>
      </c>
      <c r="O5" s="153" t="s">
        <v>7</v>
      </c>
      <c r="P5" s="153" t="s">
        <v>8</v>
      </c>
      <c r="Q5" s="154" t="s">
        <v>9</v>
      </c>
      <c r="R5" s="153" t="s">
        <v>10</v>
      </c>
      <c r="S5" s="153" t="s">
        <v>11</v>
      </c>
      <c r="T5" s="153" t="s">
        <v>12</v>
      </c>
      <c r="U5" s="153" t="s">
        <v>13</v>
      </c>
      <c r="V5" s="153" t="s">
        <v>14</v>
      </c>
      <c r="W5" s="256" t="s">
        <v>31</v>
      </c>
      <c r="X5" s="150" t="s">
        <v>3</v>
      </c>
      <c r="Y5" s="153" t="s">
        <v>4</v>
      </c>
      <c r="Z5" s="153" t="s">
        <v>5</v>
      </c>
      <c r="AA5" s="153" t="s">
        <v>6</v>
      </c>
      <c r="AB5" s="153" t="s">
        <v>7</v>
      </c>
      <c r="AC5" s="153" t="s">
        <v>8</v>
      </c>
      <c r="AD5" s="154" t="s">
        <v>9</v>
      </c>
      <c r="AE5" s="153" t="s">
        <v>10</v>
      </c>
      <c r="AF5" s="153" t="s">
        <v>11</v>
      </c>
      <c r="AG5" s="153" t="s">
        <v>12</v>
      </c>
      <c r="AH5" s="153" t="s">
        <v>13</v>
      </c>
      <c r="AI5" s="153" t="s">
        <v>14</v>
      </c>
      <c r="AJ5" s="256" t="s">
        <v>31</v>
      </c>
      <c r="AK5" s="150" t="s">
        <v>3</v>
      </c>
      <c r="AL5" s="151" t="s">
        <v>4</v>
      </c>
      <c r="AM5" s="151" t="s">
        <v>5</v>
      </c>
      <c r="AN5" s="151" t="s">
        <v>6</v>
      </c>
      <c r="AO5" s="151" t="s">
        <v>7</v>
      </c>
      <c r="AP5" s="151" t="s">
        <v>8</v>
      </c>
      <c r="AQ5" s="163" t="s">
        <v>9</v>
      </c>
      <c r="AR5" s="151" t="s">
        <v>10</v>
      </c>
      <c r="AS5" s="151" t="s">
        <v>11</v>
      </c>
      <c r="AT5" s="151" t="s">
        <v>12</v>
      </c>
      <c r="AU5" s="151" t="s">
        <v>13</v>
      </c>
      <c r="AV5" s="151" t="s">
        <v>14</v>
      </c>
      <c r="AW5" s="263" t="s">
        <v>278</v>
      </c>
      <c r="AX5" s="150" t="s">
        <v>93</v>
      </c>
      <c r="AY5" s="152" t="s">
        <v>109</v>
      </c>
    </row>
    <row r="6" spans="1:51" ht="13.5" thickBot="1">
      <c r="A6" s="155"/>
      <c r="B6" s="156"/>
      <c r="C6" s="156" t="s">
        <v>110</v>
      </c>
      <c r="D6" s="156" t="s">
        <v>111</v>
      </c>
      <c r="E6" s="156" t="s">
        <v>112</v>
      </c>
      <c r="F6" s="156"/>
      <c r="G6" s="157"/>
      <c r="H6" s="159" t="s">
        <v>33</v>
      </c>
      <c r="I6" s="159" t="s">
        <v>253</v>
      </c>
      <c r="J6" s="160" t="s">
        <v>118</v>
      </c>
      <c r="K6" s="158"/>
      <c r="L6" s="161"/>
      <c r="M6" s="161"/>
      <c r="N6" s="161"/>
      <c r="O6" s="161"/>
      <c r="P6" s="161"/>
      <c r="Q6" s="162"/>
      <c r="R6" s="161"/>
      <c r="S6" s="161"/>
      <c r="T6" s="161"/>
      <c r="U6" s="161"/>
      <c r="V6" s="161"/>
      <c r="W6" s="257" t="s">
        <v>122</v>
      </c>
      <c r="X6" s="158"/>
      <c r="Y6" s="161"/>
      <c r="Z6" s="161"/>
      <c r="AA6" s="161"/>
      <c r="AB6" s="161"/>
      <c r="AC6" s="161"/>
      <c r="AD6" s="162"/>
      <c r="AE6" s="161"/>
      <c r="AF6" s="161"/>
      <c r="AG6" s="161"/>
      <c r="AH6" s="161"/>
      <c r="AI6" s="161"/>
      <c r="AJ6" s="257" t="s">
        <v>37</v>
      </c>
      <c r="AK6" s="158"/>
      <c r="AL6" s="159"/>
      <c r="AM6" s="159"/>
      <c r="AN6" s="159"/>
      <c r="AO6" s="159"/>
      <c r="AP6" s="159"/>
      <c r="AQ6" s="166"/>
      <c r="AR6" s="159"/>
      <c r="AS6" s="159"/>
      <c r="AT6" s="159"/>
      <c r="AU6" s="159"/>
      <c r="AV6" s="159"/>
      <c r="AW6" s="264" t="s">
        <v>38</v>
      </c>
      <c r="AX6" s="158" t="s">
        <v>123</v>
      </c>
      <c r="AY6" s="160" t="s">
        <v>125</v>
      </c>
    </row>
    <row r="7" spans="1:51" ht="13.5" thickBot="1">
      <c r="A7" s="38"/>
      <c r="B7" s="38"/>
      <c r="C7" s="38"/>
      <c r="D7" s="38"/>
      <c r="E7" s="38"/>
      <c r="F7" s="38"/>
      <c r="G7" s="39"/>
      <c r="H7" s="36"/>
      <c r="I7" s="36"/>
      <c r="J7" s="36"/>
      <c r="K7" s="36"/>
      <c r="L7" s="36"/>
      <c r="M7" s="36"/>
      <c r="N7" s="36"/>
      <c r="O7" s="36"/>
      <c r="P7" s="36"/>
      <c r="Q7" s="40"/>
      <c r="R7" s="36"/>
      <c r="S7" s="36"/>
      <c r="T7" s="36"/>
      <c r="U7" s="36"/>
      <c r="V7" s="36"/>
      <c r="W7" s="254"/>
      <c r="X7" s="36"/>
      <c r="Y7" s="36"/>
      <c r="Z7" s="36"/>
      <c r="AA7" s="36"/>
      <c r="AB7" s="36"/>
      <c r="AC7" s="36"/>
      <c r="AD7" s="40"/>
      <c r="AE7" s="36"/>
      <c r="AF7" s="36"/>
      <c r="AG7" s="36"/>
      <c r="AH7" s="36"/>
      <c r="AI7" s="36"/>
      <c r="AJ7" s="254"/>
      <c r="AK7" s="36"/>
      <c r="AL7" s="36"/>
      <c r="AM7" s="36"/>
      <c r="AN7" s="36"/>
      <c r="AO7" s="36"/>
      <c r="AP7" s="36"/>
      <c r="AQ7" s="40"/>
      <c r="AR7" s="36"/>
      <c r="AS7" s="36"/>
      <c r="AT7" s="36"/>
      <c r="AU7" s="36"/>
      <c r="AV7" s="36"/>
      <c r="AW7" s="254"/>
      <c r="AX7" s="36"/>
      <c r="AY7" s="36"/>
    </row>
    <row r="8" spans="1:51" ht="13.5" thickBot="1">
      <c r="A8" s="123" t="s">
        <v>126</v>
      </c>
      <c r="B8" s="124"/>
      <c r="C8" s="124"/>
      <c r="D8" s="124"/>
      <c r="E8" s="124"/>
      <c r="F8" s="124"/>
      <c r="G8" s="125"/>
      <c r="H8" s="126"/>
      <c r="I8" s="126"/>
      <c r="J8" s="126"/>
      <c r="K8" s="126"/>
      <c r="L8" s="126"/>
      <c r="M8" s="126"/>
      <c r="N8" s="126"/>
      <c r="O8" s="126"/>
      <c r="P8" s="126"/>
      <c r="Q8" s="127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7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7"/>
      <c r="AR8" s="126"/>
      <c r="AS8" s="126"/>
      <c r="AT8" s="126"/>
      <c r="AU8" s="126"/>
      <c r="AV8" s="126"/>
      <c r="AW8" s="126"/>
      <c r="AX8" s="126"/>
      <c r="AY8" s="128"/>
    </row>
    <row r="9" spans="1:51" ht="13.5" thickBot="1">
      <c r="A9" s="38"/>
      <c r="B9" s="38"/>
      <c r="C9" s="38"/>
      <c r="D9" s="38"/>
      <c r="E9" s="38"/>
      <c r="F9" s="38"/>
      <c r="G9" s="39"/>
      <c r="H9" s="36"/>
      <c r="I9" s="36"/>
      <c r="J9" s="36"/>
      <c r="K9" s="36"/>
      <c r="L9" s="36"/>
      <c r="M9" s="36"/>
      <c r="N9" s="36"/>
      <c r="O9" s="36"/>
      <c r="P9" s="36"/>
      <c r="Q9" s="40"/>
      <c r="R9" s="36"/>
      <c r="S9" s="36"/>
      <c r="T9" s="36"/>
      <c r="U9" s="36"/>
      <c r="V9" s="36"/>
      <c r="W9" s="254"/>
      <c r="X9" s="36"/>
      <c r="Y9" s="36"/>
      <c r="Z9" s="36"/>
      <c r="AA9" s="36"/>
      <c r="AB9" s="36"/>
      <c r="AC9" s="36"/>
      <c r="AD9" s="40"/>
      <c r="AE9" s="36"/>
      <c r="AF9" s="36"/>
      <c r="AG9" s="36"/>
      <c r="AH9" s="36"/>
      <c r="AI9" s="36"/>
      <c r="AJ9" s="254"/>
      <c r="AK9" s="36"/>
      <c r="AL9" s="36"/>
      <c r="AM9" s="36"/>
      <c r="AN9" s="36"/>
      <c r="AO9" s="36"/>
      <c r="AP9" s="36"/>
      <c r="AQ9" s="40"/>
      <c r="AR9" s="36"/>
      <c r="AS9" s="36"/>
      <c r="AT9" s="36"/>
      <c r="AU9" s="36"/>
      <c r="AV9" s="36"/>
      <c r="AW9" s="254"/>
      <c r="AX9" s="36"/>
      <c r="AY9" s="36"/>
    </row>
    <row r="10" spans="1:51" s="101" customFormat="1" ht="21" customHeight="1" thickBot="1">
      <c r="A10" s="169" t="s">
        <v>127</v>
      </c>
      <c r="B10" s="170" t="s">
        <v>128</v>
      </c>
      <c r="C10" s="170" t="s">
        <v>128</v>
      </c>
      <c r="D10" s="170" t="s">
        <v>128</v>
      </c>
      <c r="E10" s="170" t="s">
        <v>128</v>
      </c>
      <c r="F10" s="170"/>
      <c r="G10" s="171" t="s">
        <v>129</v>
      </c>
      <c r="H10" s="606">
        <f>H11+H14+H18</f>
        <v>1009572525</v>
      </c>
      <c r="I10" s="239">
        <f aca="true" t="shared" si="0" ref="I10:AY10">I11+I14+I18</f>
        <v>0</v>
      </c>
      <c r="J10" s="606">
        <f t="shared" si="0"/>
        <v>1009572525</v>
      </c>
      <c r="K10" s="602">
        <f t="shared" si="0"/>
        <v>1009572525</v>
      </c>
      <c r="L10" s="172">
        <f t="shared" si="0"/>
        <v>0</v>
      </c>
      <c r="M10" s="173">
        <f t="shared" si="0"/>
        <v>0</v>
      </c>
      <c r="N10" s="173">
        <f t="shared" si="0"/>
        <v>0</v>
      </c>
      <c r="O10" s="173">
        <f t="shared" si="0"/>
        <v>0</v>
      </c>
      <c r="P10" s="173">
        <f t="shared" si="0"/>
        <v>0</v>
      </c>
      <c r="Q10" s="173">
        <f t="shared" si="0"/>
        <v>0</v>
      </c>
      <c r="R10" s="173">
        <f t="shared" si="0"/>
        <v>0</v>
      </c>
      <c r="S10" s="173">
        <f t="shared" si="0"/>
        <v>0</v>
      </c>
      <c r="T10" s="173">
        <f t="shared" si="0"/>
        <v>0</v>
      </c>
      <c r="U10" s="173">
        <f t="shared" si="0"/>
        <v>0</v>
      </c>
      <c r="V10" s="174">
        <f t="shared" si="0"/>
        <v>0</v>
      </c>
      <c r="W10" s="618">
        <f t="shared" si="0"/>
        <v>1009572525</v>
      </c>
      <c r="X10" s="172">
        <f t="shared" si="0"/>
        <v>1009572525</v>
      </c>
      <c r="Y10" s="172">
        <f t="shared" si="0"/>
        <v>0</v>
      </c>
      <c r="Z10" s="172">
        <f t="shared" si="0"/>
        <v>0</v>
      </c>
      <c r="AA10" s="172">
        <f t="shared" si="0"/>
        <v>0</v>
      </c>
      <c r="AB10" s="172">
        <f t="shared" si="0"/>
        <v>0</v>
      </c>
      <c r="AC10" s="172">
        <f t="shared" si="0"/>
        <v>0</v>
      </c>
      <c r="AD10" s="172">
        <f t="shared" si="0"/>
        <v>0</v>
      </c>
      <c r="AE10" s="172">
        <f t="shared" si="0"/>
        <v>0</v>
      </c>
      <c r="AF10" s="172">
        <f t="shared" si="0"/>
        <v>0</v>
      </c>
      <c r="AG10" s="172">
        <f t="shared" si="0"/>
        <v>0</v>
      </c>
      <c r="AH10" s="172">
        <f t="shared" si="0"/>
        <v>0</v>
      </c>
      <c r="AI10" s="172">
        <f t="shared" si="0"/>
        <v>0</v>
      </c>
      <c r="AJ10" s="172">
        <f t="shared" si="0"/>
        <v>1009572525</v>
      </c>
      <c r="AK10" s="172">
        <f t="shared" si="0"/>
        <v>204936131</v>
      </c>
      <c r="AL10" s="172">
        <f t="shared" si="0"/>
        <v>205106309</v>
      </c>
      <c r="AM10" s="172">
        <f t="shared" si="0"/>
        <v>238768817</v>
      </c>
      <c r="AN10" s="172">
        <f t="shared" si="0"/>
        <v>28175531</v>
      </c>
      <c r="AO10" s="172">
        <f t="shared" si="0"/>
        <v>207883179</v>
      </c>
      <c r="AP10" s="172">
        <f t="shared" si="0"/>
        <v>17377674</v>
      </c>
      <c r="AQ10" s="172">
        <f t="shared" si="0"/>
        <v>14099649</v>
      </c>
      <c r="AR10" s="172">
        <f t="shared" si="0"/>
        <v>4434815</v>
      </c>
      <c r="AS10" s="172">
        <f t="shared" si="0"/>
        <v>4413200</v>
      </c>
      <c r="AT10" s="172">
        <f t="shared" si="0"/>
        <v>5079543</v>
      </c>
      <c r="AU10" s="172">
        <f t="shared" si="0"/>
        <v>4785492</v>
      </c>
      <c r="AV10" s="172">
        <f t="shared" si="0"/>
        <v>559462</v>
      </c>
      <c r="AW10" s="172">
        <f t="shared" si="0"/>
        <v>935619802</v>
      </c>
      <c r="AX10" s="172">
        <f t="shared" si="0"/>
        <v>0</v>
      </c>
      <c r="AY10" s="172">
        <f t="shared" si="0"/>
        <v>73952723</v>
      </c>
    </row>
    <row r="11" spans="1:51" s="101" customFormat="1" ht="21" customHeight="1">
      <c r="A11" s="176" t="s">
        <v>127</v>
      </c>
      <c r="B11" s="177" t="s">
        <v>130</v>
      </c>
      <c r="C11" s="178" t="s">
        <v>131</v>
      </c>
      <c r="D11" s="177" t="s">
        <v>128</v>
      </c>
      <c r="E11" s="177" t="s">
        <v>128</v>
      </c>
      <c r="F11" s="177"/>
      <c r="G11" s="179" t="s">
        <v>132</v>
      </c>
      <c r="H11" s="607">
        <f>SUM(H12:H13)</f>
        <v>388993360</v>
      </c>
      <c r="I11" s="610">
        <f aca="true" t="shared" si="1" ref="I11:AY11">SUM(I12:I13)</f>
        <v>0</v>
      </c>
      <c r="J11" s="607">
        <f t="shared" si="1"/>
        <v>388993360</v>
      </c>
      <c r="K11" s="603">
        <f t="shared" si="1"/>
        <v>388993360</v>
      </c>
      <c r="L11" s="180">
        <f t="shared" si="1"/>
        <v>0</v>
      </c>
      <c r="M11" s="181">
        <f t="shared" si="1"/>
        <v>0</v>
      </c>
      <c r="N11" s="181">
        <f t="shared" si="1"/>
        <v>0</v>
      </c>
      <c r="O11" s="181">
        <f t="shared" si="1"/>
        <v>0</v>
      </c>
      <c r="P11" s="181">
        <f t="shared" si="1"/>
        <v>0</v>
      </c>
      <c r="Q11" s="181">
        <f t="shared" si="1"/>
        <v>0</v>
      </c>
      <c r="R11" s="181">
        <f t="shared" si="1"/>
        <v>0</v>
      </c>
      <c r="S11" s="181">
        <f t="shared" si="1"/>
        <v>0</v>
      </c>
      <c r="T11" s="181">
        <f t="shared" si="1"/>
        <v>0</v>
      </c>
      <c r="U11" s="181">
        <f t="shared" si="1"/>
        <v>0</v>
      </c>
      <c r="V11" s="182">
        <f t="shared" si="1"/>
        <v>0</v>
      </c>
      <c r="W11" s="619">
        <f t="shared" si="1"/>
        <v>388993360</v>
      </c>
      <c r="X11" s="180">
        <f t="shared" si="1"/>
        <v>388993360</v>
      </c>
      <c r="Y11" s="180">
        <f t="shared" si="1"/>
        <v>0</v>
      </c>
      <c r="Z11" s="180">
        <f t="shared" si="1"/>
        <v>0</v>
      </c>
      <c r="AA11" s="180">
        <f t="shared" si="1"/>
        <v>0</v>
      </c>
      <c r="AB11" s="180">
        <f t="shared" si="1"/>
        <v>0</v>
      </c>
      <c r="AC11" s="180">
        <f t="shared" si="1"/>
        <v>0</v>
      </c>
      <c r="AD11" s="180">
        <f t="shared" si="1"/>
        <v>0</v>
      </c>
      <c r="AE11" s="180">
        <f t="shared" si="1"/>
        <v>0</v>
      </c>
      <c r="AF11" s="180">
        <f t="shared" si="1"/>
        <v>0</v>
      </c>
      <c r="AG11" s="180">
        <f t="shared" si="1"/>
        <v>0</v>
      </c>
      <c r="AH11" s="180">
        <f t="shared" si="1"/>
        <v>0</v>
      </c>
      <c r="AI11" s="180">
        <f t="shared" si="1"/>
        <v>0</v>
      </c>
      <c r="AJ11" s="180">
        <f t="shared" si="1"/>
        <v>388993360</v>
      </c>
      <c r="AK11" s="180">
        <f t="shared" si="1"/>
        <v>11434200</v>
      </c>
      <c r="AL11" s="180">
        <f t="shared" si="1"/>
        <v>164099181</v>
      </c>
      <c r="AM11" s="180">
        <f t="shared" si="1"/>
        <v>0</v>
      </c>
      <c r="AN11" s="180">
        <f t="shared" si="1"/>
        <v>13239600</v>
      </c>
      <c r="AO11" s="180">
        <f t="shared" si="1"/>
        <v>168512380</v>
      </c>
      <c r="AP11" s="180">
        <f t="shared" si="1"/>
        <v>4413200</v>
      </c>
      <c r="AQ11" s="180">
        <f t="shared" si="1"/>
        <v>4413200</v>
      </c>
      <c r="AR11" s="180">
        <f t="shared" si="1"/>
        <v>4413200</v>
      </c>
      <c r="AS11" s="180">
        <f t="shared" si="1"/>
        <v>4413200</v>
      </c>
      <c r="AT11" s="180">
        <f t="shared" si="1"/>
        <v>4413200</v>
      </c>
      <c r="AU11" s="180">
        <f t="shared" si="1"/>
        <v>4413200</v>
      </c>
      <c r="AV11" s="180">
        <f t="shared" si="1"/>
        <v>0</v>
      </c>
      <c r="AW11" s="180">
        <f t="shared" si="1"/>
        <v>383764561</v>
      </c>
      <c r="AX11" s="180">
        <f t="shared" si="1"/>
        <v>0</v>
      </c>
      <c r="AY11" s="180">
        <f t="shared" si="1"/>
        <v>5228799</v>
      </c>
    </row>
    <row r="12" spans="1:51" s="101" customFormat="1" ht="21" customHeight="1">
      <c r="A12" s="423" t="s">
        <v>127</v>
      </c>
      <c r="B12" s="427" t="s">
        <v>130</v>
      </c>
      <c r="C12" s="427" t="s">
        <v>131</v>
      </c>
      <c r="D12" s="427" t="s">
        <v>131</v>
      </c>
      <c r="E12" s="427" t="s">
        <v>260</v>
      </c>
      <c r="F12" s="427" t="s">
        <v>134</v>
      </c>
      <c r="G12" s="428" t="s">
        <v>274</v>
      </c>
      <c r="H12" s="613">
        <v>815599</v>
      </c>
      <c r="I12" s="611">
        <v>0</v>
      </c>
      <c r="J12" s="608">
        <f>SUM(H12:I12)</f>
        <v>815599</v>
      </c>
      <c r="K12" s="626">
        <v>815599</v>
      </c>
      <c r="L12" s="600">
        <v>0</v>
      </c>
      <c r="M12" s="601">
        <v>0</v>
      </c>
      <c r="N12" s="601">
        <v>0</v>
      </c>
      <c r="O12" s="601">
        <v>0</v>
      </c>
      <c r="P12" s="601">
        <v>0</v>
      </c>
      <c r="Q12" s="624">
        <v>0</v>
      </c>
      <c r="R12" s="601">
        <v>0</v>
      </c>
      <c r="S12" s="601">
        <v>0</v>
      </c>
      <c r="T12" s="601">
        <v>0</v>
      </c>
      <c r="U12" s="601">
        <v>0</v>
      </c>
      <c r="V12" s="625">
        <v>0</v>
      </c>
      <c r="W12" s="620">
        <f>SUM(K12:V12)</f>
        <v>815599</v>
      </c>
      <c r="X12" s="167">
        <f>K12</f>
        <v>815599</v>
      </c>
      <c r="Y12" s="425"/>
      <c r="Z12" s="425"/>
      <c r="AA12" s="425"/>
      <c r="AB12" s="425"/>
      <c r="AC12" s="425"/>
      <c r="AD12" s="426"/>
      <c r="AE12" s="425"/>
      <c r="AF12" s="425"/>
      <c r="AG12" s="425"/>
      <c r="AH12" s="425"/>
      <c r="AI12" s="425"/>
      <c r="AJ12" s="250">
        <f>SUM(X12:AI12)</f>
        <v>815599</v>
      </c>
      <c r="AK12" s="424">
        <v>0</v>
      </c>
      <c r="AL12" s="425"/>
      <c r="AM12" s="425"/>
      <c r="AN12" s="425">
        <v>0</v>
      </c>
      <c r="AO12" s="425"/>
      <c r="AP12" s="425"/>
      <c r="AQ12" s="426"/>
      <c r="AR12" s="425"/>
      <c r="AS12" s="425"/>
      <c r="AT12" s="425"/>
      <c r="AU12" s="425"/>
      <c r="AV12" s="425"/>
      <c r="AW12" s="250">
        <f>SUM(AK12:AV12)</f>
        <v>0</v>
      </c>
      <c r="AX12" s="266">
        <f>J12-W12</f>
        <v>0</v>
      </c>
      <c r="AY12" s="267">
        <f>AJ12-AW12</f>
        <v>815599</v>
      </c>
    </row>
    <row r="13" spans="1:51" ht="21" customHeight="1">
      <c r="A13" s="133" t="s">
        <v>127</v>
      </c>
      <c r="B13" s="129" t="s">
        <v>130</v>
      </c>
      <c r="C13" s="129" t="s">
        <v>133</v>
      </c>
      <c r="D13" s="129" t="s">
        <v>136</v>
      </c>
      <c r="E13" s="129" t="s">
        <v>144</v>
      </c>
      <c r="F13" s="129" t="s">
        <v>134</v>
      </c>
      <c r="G13" s="130" t="s">
        <v>145</v>
      </c>
      <c r="H13" s="614">
        <v>388177761</v>
      </c>
      <c r="I13" s="36">
        <v>0</v>
      </c>
      <c r="J13" s="608">
        <f>SUM(H13:I13)</f>
        <v>388177761</v>
      </c>
      <c r="K13" s="616">
        <v>388177761</v>
      </c>
      <c r="L13" s="167">
        <f>388177761-K13</f>
        <v>0</v>
      </c>
      <c r="M13" s="131">
        <v>0</v>
      </c>
      <c r="N13" s="131">
        <v>0</v>
      </c>
      <c r="O13" s="131">
        <v>0</v>
      </c>
      <c r="P13" s="131">
        <v>0</v>
      </c>
      <c r="Q13" s="132">
        <v>0</v>
      </c>
      <c r="R13" s="131">
        <v>0</v>
      </c>
      <c r="S13" s="131"/>
      <c r="T13" s="131">
        <v>0</v>
      </c>
      <c r="U13" s="131">
        <v>0</v>
      </c>
      <c r="V13" s="622">
        <v>0</v>
      </c>
      <c r="W13" s="620">
        <f>SUM(K13:V13)</f>
        <v>388177761</v>
      </c>
      <c r="X13" s="167">
        <f>K13</f>
        <v>388177761</v>
      </c>
      <c r="Y13" s="131">
        <f aca="true" t="shared" si="2" ref="Y13:AI13">L13</f>
        <v>0</v>
      </c>
      <c r="Z13" s="131">
        <f t="shared" si="2"/>
        <v>0</v>
      </c>
      <c r="AA13" s="131">
        <f t="shared" si="2"/>
        <v>0</v>
      </c>
      <c r="AB13" s="131">
        <f t="shared" si="2"/>
        <v>0</v>
      </c>
      <c r="AC13" s="131">
        <f t="shared" si="2"/>
        <v>0</v>
      </c>
      <c r="AD13" s="132">
        <f t="shared" si="2"/>
        <v>0</v>
      </c>
      <c r="AE13" s="131">
        <f t="shared" si="2"/>
        <v>0</v>
      </c>
      <c r="AF13" s="131">
        <f t="shared" si="2"/>
        <v>0</v>
      </c>
      <c r="AG13" s="131">
        <f t="shared" si="2"/>
        <v>0</v>
      </c>
      <c r="AH13" s="131">
        <f t="shared" si="2"/>
        <v>0</v>
      </c>
      <c r="AI13" s="131">
        <f t="shared" si="2"/>
        <v>0</v>
      </c>
      <c r="AJ13" s="250">
        <f>SUM(X13:AI13)</f>
        <v>388177761</v>
      </c>
      <c r="AK13" s="167">
        <v>11434200</v>
      </c>
      <c r="AL13" s="131">
        <v>164099181</v>
      </c>
      <c r="AM13" s="131"/>
      <c r="AN13" s="131">
        <v>13239600</v>
      </c>
      <c r="AO13" s="131">
        <v>168512380</v>
      </c>
      <c r="AP13" s="131">
        <v>4413200</v>
      </c>
      <c r="AQ13" s="132">
        <v>4413200</v>
      </c>
      <c r="AR13" s="131">
        <v>4413200</v>
      </c>
      <c r="AS13" s="131">
        <v>4413200</v>
      </c>
      <c r="AT13" s="131">
        <v>4413200</v>
      </c>
      <c r="AU13" s="131">
        <v>4413200</v>
      </c>
      <c r="AV13" s="131"/>
      <c r="AW13" s="250">
        <f>SUM(AK13:AV13)</f>
        <v>383764561</v>
      </c>
      <c r="AX13" s="266">
        <f>J13-W13</f>
        <v>0</v>
      </c>
      <c r="AY13" s="267">
        <f>AJ13-AW13</f>
        <v>4413200</v>
      </c>
    </row>
    <row r="14" spans="1:51" s="101" customFormat="1" ht="21" customHeight="1">
      <c r="A14" s="176" t="s">
        <v>127</v>
      </c>
      <c r="B14" s="177" t="s">
        <v>130</v>
      </c>
      <c r="C14" s="178" t="s">
        <v>136</v>
      </c>
      <c r="D14" s="177" t="s">
        <v>128</v>
      </c>
      <c r="E14" s="177" t="s">
        <v>128</v>
      </c>
      <c r="F14" s="177"/>
      <c r="G14" s="179" t="s">
        <v>150</v>
      </c>
      <c r="H14" s="607">
        <f>SUM(H15:H17)</f>
        <v>475144165</v>
      </c>
      <c r="I14" s="610">
        <f aca="true" t="shared" si="3" ref="I14:AY14">SUM(I15:I17)</f>
        <v>0</v>
      </c>
      <c r="J14" s="607">
        <f t="shared" si="3"/>
        <v>475144165</v>
      </c>
      <c r="K14" s="603">
        <f t="shared" si="3"/>
        <v>475144165</v>
      </c>
      <c r="L14" s="180">
        <f t="shared" si="3"/>
        <v>0</v>
      </c>
      <c r="M14" s="181">
        <f t="shared" si="3"/>
        <v>0</v>
      </c>
      <c r="N14" s="181">
        <f t="shared" si="3"/>
        <v>0</v>
      </c>
      <c r="O14" s="181">
        <f t="shared" si="3"/>
        <v>0</v>
      </c>
      <c r="P14" s="181">
        <f t="shared" si="3"/>
        <v>0</v>
      </c>
      <c r="Q14" s="181">
        <f t="shared" si="3"/>
        <v>0</v>
      </c>
      <c r="R14" s="181">
        <f t="shared" si="3"/>
        <v>0</v>
      </c>
      <c r="S14" s="181">
        <f t="shared" si="3"/>
        <v>0</v>
      </c>
      <c r="T14" s="181">
        <f t="shared" si="3"/>
        <v>0</v>
      </c>
      <c r="U14" s="181">
        <f t="shared" si="3"/>
        <v>0</v>
      </c>
      <c r="V14" s="182">
        <f t="shared" si="3"/>
        <v>0</v>
      </c>
      <c r="W14" s="619">
        <f t="shared" si="3"/>
        <v>475144165</v>
      </c>
      <c r="X14" s="180">
        <f t="shared" si="3"/>
        <v>475144165</v>
      </c>
      <c r="Y14" s="180">
        <f t="shared" si="3"/>
        <v>0</v>
      </c>
      <c r="Z14" s="180">
        <f t="shared" si="3"/>
        <v>0</v>
      </c>
      <c r="AA14" s="180">
        <f t="shared" si="3"/>
        <v>0</v>
      </c>
      <c r="AB14" s="180">
        <f t="shared" si="3"/>
        <v>0</v>
      </c>
      <c r="AC14" s="180">
        <f t="shared" si="3"/>
        <v>0</v>
      </c>
      <c r="AD14" s="180">
        <f t="shared" si="3"/>
        <v>0</v>
      </c>
      <c r="AE14" s="180">
        <f t="shared" si="3"/>
        <v>0</v>
      </c>
      <c r="AF14" s="180">
        <f t="shared" si="3"/>
        <v>0</v>
      </c>
      <c r="AG14" s="180">
        <f t="shared" si="3"/>
        <v>0</v>
      </c>
      <c r="AH14" s="180">
        <f t="shared" si="3"/>
        <v>0</v>
      </c>
      <c r="AI14" s="180">
        <f t="shared" si="3"/>
        <v>0</v>
      </c>
      <c r="AJ14" s="180">
        <f t="shared" si="3"/>
        <v>475144165</v>
      </c>
      <c r="AK14" s="180">
        <f t="shared" si="3"/>
        <v>87081473</v>
      </c>
      <c r="AL14" s="180">
        <f t="shared" si="3"/>
        <v>41007128</v>
      </c>
      <c r="AM14" s="180">
        <f t="shared" si="3"/>
        <v>238768817</v>
      </c>
      <c r="AN14" s="180">
        <f t="shared" si="3"/>
        <v>14935931</v>
      </c>
      <c r="AO14" s="180">
        <f t="shared" si="3"/>
        <v>39370799</v>
      </c>
      <c r="AP14" s="180">
        <f t="shared" si="3"/>
        <v>12964474</v>
      </c>
      <c r="AQ14" s="180">
        <f t="shared" si="3"/>
        <v>9686449</v>
      </c>
      <c r="AR14" s="180">
        <f t="shared" si="3"/>
        <v>21615</v>
      </c>
      <c r="AS14" s="180">
        <f t="shared" si="3"/>
        <v>0</v>
      </c>
      <c r="AT14" s="180">
        <f t="shared" si="3"/>
        <v>666343</v>
      </c>
      <c r="AU14" s="180">
        <f t="shared" si="3"/>
        <v>372292</v>
      </c>
      <c r="AV14" s="180">
        <f t="shared" si="3"/>
        <v>559462</v>
      </c>
      <c r="AW14" s="180">
        <f t="shared" si="3"/>
        <v>445434783</v>
      </c>
      <c r="AX14" s="180">
        <f t="shared" si="3"/>
        <v>0</v>
      </c>
      <c r="AY14" s="180">
        <f t="shared" si="3"/>
        <v>29709382</v>
      </c>
    </row>
    <row r="15" spans="1:51" ht="21" customHeight="1">
      <c r="A15" s="133" t="s">
        <v>127</v>
      </c>
      <c r="B15" s="129" t="s">
        <v>130</v>
      </c>
      <c r="C15" s="129" t="s">
        <v>151</v>
      </c>
      <c r="D15" s="129" t="s">
        <v>131</v>
      </c>
      <c r="E15" s="129" t="s">
        <v>128</v>
      </c>
      <c r="F15" s="129" t="s">
        <v>187</v>
      </c>
      <c r="G15" s="130" t="s">
        <v>152</v>
      </c>
      <c r="H15" s="614">
        <f>299897+111591980</f>
        <v>111891877</v>
      </c>
      <c r="I15" s="36">
        <v>0</v>
      </c>
      <c r="J15" s="608">
        <f>SUM(H15:I15)</f>
        <v>111891877</v>
      </c>
      <c r="K15" s="616">
        <v>111891877</v>
      </c>
      <c r="L15" s="167">
        <v>0</v>
      </c>
      <c r="M15" s="131">
        <v>0</v>
      </c>
      <c r="N15" s="131">
        <v>0</v>
      </c>
      <c r="O15" s="131">
        <v>0</v>
      </c>
      <c r="P15" s="131">
        <v>0</v>
      </c>
      <c r="Q15" s="132">
        <v>0</v>
      </c>
      <c r="R15" s="131">
        <v>0</v>
      </c>
      <c r="S15" s="131">
        <v>0</v>
      </c>
      <c r="T15" s="131">
        <v>0</v>
      </c>
      <c r="U15" s="131">
        <v>0</v>
      </c>
      <c r="V15" s="622">
        <v>0</v>
      </c>
      <c r="W15" s="620">
        <f>SUM(K15:V15)</f>
        <v>111891877</v>
      </c>
      <c r="X15" s="167">
        <f aca="true" t="shared" si="4" ref="X15:AI17">K15</f>
        <v>111891877</v>
      </c>
      <c r="Y15" s="131">
        <f t="shared" si="4"/>
        <v>0</v>
      </c>
      <c r="Z15" s="131">
        <f t="shared" si="4"/>
        <v>0</v>
      </c>
      <c r="AA15" s="131">
        <f t="shared" si="4"/>
        <v>0</v>
      </c>
      <c r="AB15" s="131">
        <f t="shared" si="4"/>
        <v>0</v>
      </c>
      <c r="AC15" s="131">
        <f t="shared" si="4"/>
        <v>0</v>
      </c>
      <c r="AD15" s="132">
        <f t="shared" si="4"/>
        <v>0</v>
      </c>
      <c r="AE15" s="131">
        <f t="shared" si="4"/>
        <v>0</v>
      </c>
      <c r="AF15" s="131">
        <f t="shared" si="4"/>
        <v>0</v>
      </c>
      <c r="AG15" s="131">
        <f t="shared" si="4"/>
        <v>0</v>
      </c>
      <c r="AH15" s="131">
        <f t="shared" si="4"/>
        <v>0</v>
      </c>
      <c r="AI15" s="131">
        <f t="shared" si="4"/>
        <v>0</v>
      </c>
      <c r="AJ15" s="250">
        <f>SUM(X15:AI15)</f>
        <v>111891877</v>
      </c>
      <c r="AK15" s="167">
        <v>354000</v>
      </c>
      <c r="AL15" s="131">
        <v>16969158</v>
      </c>
      <c r="AM15" s="131">
        <v>34753407</v>
      </c>
      <c r="AN15" s="131">
        <v>0</v>
      </c>
      <c r="AO15" s="131">
        <v>38693424</v>
      </c>
      <c r="AP15" s="131">
        <v>11435439</v>
      </c>
      <c r="AQ15" s="132">
        <v>9686449</v>
      </c>
      <c r="AR15" s="131"/>
      <c r="AS15" s="131"/>
      <c r="AT15" s="131"/>
      <c r="AU15" s="131"/>
      <c r="AV15" s="131"/>
      <c r="AW15" s="250">
        <f>SUM(AK15:AV15)</f>
        <v>111891877</v>
      </c>
      <c r="AX15" s="266">
        <f>J15-W15</f>
        <v>0</v>
      </c>
      <c r="AY15" s="267">
        <f>AJ15-AW15</f>
        <v>0</v>
      </c>
    </row>
    <row r="16" spans="1:51" ht="21" customHeight="1">
      <c r="A16" s="38" t="s">
        <v>127</v>
      </c>
      <c r="B16" s="129" t="s">
        <v>130</v>
      </c>
      <c r="C16" s="129" t="s">
        <v>151</v>
      </c>
      <c r="D16" s="129" t="s">
        <v>136</v>
      </c>
      <c r="E16" s="129" t="s">
        <v>128</v>
      </c>
      <c r="F16" s="129" t="s">
        <v>187</v>
      </c>
      <c r="G16" s="130" t="s">
        <v>153</v>
      </c>
      <c r="H16" s="614">
        <f>919149+37125219+47957619+1273008+9304915+46247273+31861105</f>
        <v>174688288</v>
      </c>
      <c r="I16" s="36">
        <v>0</v>
      </c>
      <c r="J16" s="608">
        <f>SUM(H16:I16)</f>
        <v>174688288</v>
      </c>
      <c r="K16" s="616">
        <v>174688288</v>
      </c>
      <c r="L16" s="167">
        <v>0</v>
      </c>
      <c r="M16" s="131">
        <v>0</v>
      </c>
      <c r="N16" s="131">
        <v>0</v>
      </c>
      <c r="O16" s="131">
        <v>0</v>
      </c>
      <c r="P16" s="131">
        <v>0</v>
      </c>
      <c r="Q16" s="132">
        <v>0</v>
      </c>
      <c r="R16" s="131">
        <v>0</v>
      </c>
      <c r="S16" s="131">
        <v>0</v>
      </c>
      <c r="T16" s="131">
        <v>0</v>
      </c>
      <c r="U16" s="131">
        <v>0</v>
      </c>
      <c r="V16" s="622">
        <v>0</v>
      </c>
      <c r="W16" s="620">
        <f>SUM(K16:V16)</f>
        <v>174688288</v>
      </c>
      <c r="X16" s="167">
        <f t="shared" si="4"/>
        <v>174688288</v>
      </c>
      <c r="Y16" s="131">
        <f t="shared" si="4"/>
        <v>0</v>
      </c>
      <c r="Z16" s="131">
        <f t="shared" si="4"/>
        <v>0</v>
      </c>
      <c r="AA16" s="131">
        <f t="shared" si="4"/>
        <v>0</v>
      </c>
      <c r="AB16" s="131">
        <f t="shared" si="4"/>
        <v>0</v>
      </c>
      <c r="AC16" s="131">
        <f t="shared" si="4"/>
        <v>0</v>
      </c>
      <c r="AD16" s="132">
        <f t="shared" si="4"/>
        <v>0</v>
      </c>
      <c r="AE16" s="131">
        <f t="shared" si="4"/>
        <v>0</v>
      </c>
      <c r="AF16" s="131">
        <f t="shared" si="4"/>
        <v>0</v>
      </c>
      <c r="AG16" s="131">
        <f t="shared" si="4"/>
        <v>0</v>
      </c>
      <c r="AH16" s="131">
        <f t="shared" si="4"/>
        <v>0</v>
      </c>
      <c r="AI16" s="131">
        <f t="shared" si="4"/>
        <v>0</v>
      </c>
      <c r="AJ16" s="250">
        <f>SUM(X16:AI16)</f>
        <v>174688288</v>
      </c>
      <c r="AK16" s="167">
        <v>86727473</v>
      </c>
      <c r="AL16" s="131">
        <v>24037970</v>
      </c>
      <c r="AM16" s="131">
        <v>16015410</v>
      </c>
      <c r="AN16" s="131">
        <v>14371931</v>
      </c>
      <c r="AO16" s="131">
        <v>677375</v>
      </c>
      <c r="AP16" s="131">
        <v>1529035</v>
      </c>
      <c r="AQ16" s="132"/>
      <c r="AR16" s="131">
        <v>21615</v>
      </c>
      <c r="AS16" s="131"/>
      <c r="AT16" s="131">
        <v>666343</v>
      </c>
      <c r="AU16" s="131">
        <v>372292</v>
      </c>
      <c r="AV16" s="131">
        <v>559462</v>
      </c>
      <c r="AW16" s="250">
        <f>SUM(AK16:AV16)</f>
        <v>144978906</v>
      </c>
      <c r="AX16" s="266">
        <f>J16-W16</f>
        <v>0</v>
      </c>
      <c r="AY16" s="267">
        <f>AJ16-AW16</f>
        <v>29709382</v>
      </c>
    </row>
    <row r="17" spans="1:51" ht="21" customHeight="1">
      <c r="A17" s="38" t="s">
        <v>127</v>
      </c>
      <c r="B17" s="129" t="s">
        <v>130</v>
      </c>
      <c r="C17" s="129" t="s">
        <v>151</v>
      </c>
      <c r="D17" s="129" t="s">
        <v>138</v>
      </c>
      <c r="E17" s="129" t="s">
        <v>128</v>
      </c>
      <c r="F17" s="129" t="s">
        <v>134</v>
      </c>
      <c r="G17" s="130" t="s">
        <v>266</v>
      </c>
      <c r="H17" s="614">
        <v>188564000</v>
      </c>
      <c r="I17" s="36">
        <v>0</v>
      </c>
      <c r="J17" s="608">
        <f>SUM(H17:I17)</f>
        <v>188564000</v>
      </c>
      <c r="K17" s="616">
        <v>188564000</v>
      </c>
      <c r="L17" s="167">
        <v>0</v>
      </c>
      <c r="M17" s="131">
        <v>0</v>
      </c>
      <c r="N17" s="131">
        <v>0</v>
      </c>
      <c r="O17" s="131">
        <v>0</v>
      </c>
      <c r="P17" s="131">
        <v>0</v>
      </c>
      <c r="Q17" s="132">
        <v>0</v>
      </c>
      <c r="R17" s="131">
        <v>0</v>
      </c>
      <c r="S17" s="131">
        <v>0</v>
      </c>
      <c r="T17" s="131">
        <v>0</v>
      </c>
      <c r="U17" s="131">
        <v>0</v>
      </c>
      <c r="V17" s="622">
        <v>0</v>
      </c>
      <c r="W17" s="620">
        <f>SUM(K17:V17)</f>
        <v>188564000</v>
      </c>
      <c r="X17" s="167">
        <f t="shared" si="4"/>
        <v>188564000</v>
      </c>
      <c r="Y17" s="131">
        <f t="shared" si="4"/>
        <v>0</v>
      </c>
      <c r="Z17" s="131">
        <f t="shared" si="4"/>
        <v>0</v>
      </c>
      <c r="AA17" s="131">
        <f t="shared" si="4"/>
        <v>0</v>
      </c>
      <c r="AB17" s="131">
        <f t="shared" si="4"/>
        <v>0</v>
      </c>
      <c r="AC17" s="131">
        <f t="shared" si="4"/>
        <v>0</v>
      </c>
      <c r="AD17" s="132">
        <f t="shared" si="4"/>
        <v>0</v>
      </c>
      <c r="AE17" s="131">
        <f t="shared" si="4"/>
        <v>0</v>
      </c>
      <c r="AF17" s="131">
        <f t="shared" si="4"/>
        <v>0</v>
      </c>
      <c r="AG17" s="131">
        <f t="shared" si="4"/>
        <v>0</v>
      </c>
      <c r="AH17" s="131">
        <f t="shared" si="4"/>
        <v>0</v>
      </c>
      <c r="AI17" s="131">
        <f t="shared" si="4"/>
        <v>0</v>
      </c>
      <c r="AJ17" s="250">
        <f>SUM(X17:AI17)</f>
        <v>188564000</v>
      </c>
      <c r="AK17" s="167">
        <v>0</v>
      </c>
      <c r="AL17" s="131"/>
      <c r="AM17" s="131">
        <v>188000000</v>
      </c>
      <c r="AN17" s="131">
        <v>564000</v>
      </c>
      <c r="AO17" s="131"/>
      <c r="AP17" s="131"/>
      <c r="AQ17" s="132"/>
      <c r="AR17" s="131"/>
      <c r="AS17" s="131"/>
      <c r="AT17" s="131"/>
      <c r="AU17" s="131"/>
      <c r="AV17" s="131"/>
      <c r="AW17" s="250">
        <f>SUM(AK17:AV17)</f>
        <v>188564000</v>
      </c>
      <c r="AX17" s="266">
        <f>J17-W17</f>
        <v>0</v>
      </c>
      <c r="AY17" s="267">
        <f>AJ17-AW17</f>
        <v>0</v>
      </c>
    </row>
    <row r="18" spans="1:51" ht="21" customHeight="1">
      <c r="A18" s="176" t="s">
        <v>127</v>
      </c>
      <c r="B18" s="177" t="s">
        <v>130</v>
      </c>
      <c r="C18" s="178" t="s">
        <v>138</v>
      </c>
      <c r="D18" s="177" t="s">
        <v>128</v>
      </c>
      <c r="E18" s="177" t="s">
        <v>128</v>
      </c>
      <c r="F18" s="177"/>
      <c r="G18" s="179" t="s">
        <v>267</v>
      </c>
      <c r="H18" s="607">
        <f>SUM(H19)</f>
        <v>145435000</v>
      </c>
      <c r="I18" s="610">
        <f aca="true" t="shared" si="5" ref="I18:AY18">SUM(I19)</f>
        <v>0</v>
      </c>
      <c r="J18" s="607">
        <f t="shared" si="5"/>
        <v>145435000</v>
      </c>
      <c r="K18" s="603">
        <f t="shared" si="5"/>
        <v>145435000</v>
      </c>
      <c r="L18" s="180">
        <f t="shared" si="5"/>
        <v>0</v>
      </c>
      <c r="M18" s="181">
        <f t="shared" si="5"/>
        <v>0</v>
      </c>
      <c r="N18" s="181">
        <f t="shared" si="5"/>
        <v>0</v>
      </c>
      <c r="O18" s="181">
        <f t="shared" si="5"/>
        <v>0</v>
      </c>
      <c r="P18" s="181">
        <f t="shared" si="5"/>
        <v>0</v>
      </c>
      <c r="Q18" s="181">
        <f t="shared" si="5"/>
        <v>0</v>
      </c>
      <c r="R18" s="181">
        <f t="shared" si="5"/>
        <v>0</v>
      </c>
      <c r="S18" s="181">
        <f t="shared" si="5"/>
        <v>0</v>
      </c>
      <c r="T18" s="181">
        <f t="shared" si="5"/>
        <v>0</v>
      </c>
      <c r="U18" s="181">
        <f t="shared" si="5"/>
        <v>0</v>
      </c>
      <c r="V18" s="182">
        <f t="shared" si="5"/>
        <v>0</v>
      </c>
      <c r="W18" s="619">
        <f t="shared" si="5"/>
        <v>145435000</v>
      </c>
      <c r="X18" s="180">
        <f t="shared" si="5"/>
        <v>145435000</v>
      </c>
      <c r="Y18" s="180">
        <f t="shared" si="5"/>
        <v>0</v>
      </c>
      <c r="Z18" s="180">
        <f t="shared" si="5"/>
        <v>0</v>
      </c>
      <c r="AA18" s="180">
        <f t="shared" si="5"/>
        <v>0</v>
      </c>
      <c r="AB18" s="180">
        <f t="shared" si="5"/>
        <v>0</v>
      </c>
      <c r="AC18" s="180">
        <f t="shared" si="5"/>
        <v>0</v>
      </c>
      <c r="AD18" s="180">
        <f t="shared" si="5"/>
        <v>0</v>
      </c>
      <c r="AE18" s="180">
        <f t="shared" si="5"/>
        <v>0</v>
      </c>
      <c r="AF18" s="180">
        <f t="shared" si="5"/>
        <v>0</v>
      </c>
      <c r="AG18" s="180">
        <f t="shared" si="5"/>
        <v>0</v>
      </c>
      <c r="AH18" s="180">
        <f t="shared" si="5"/>
        <v>0</v>
      </c>
      <c r="AI18" s="180">
        <f t="shared" si="5"/>
        <v>0</v>
      </c>
      <c r="AJ18" s="180">
        <f t="shared" si="5"/>
        <v>145435000</v>
      </c>
      <c r="AK18" s="180">
        <f t="shared" si="5"/>
        <v>106420458</v>
      </c>
      <c r="AL18" s="180">
        <f t="shared" si="5"/>
        <v>0</v>
      </c>
      <c r="AM18" s="180">
        <f t="shared" si="5"/>
        <v>0</v>
      </c>
      <c r="AN18" s="180">
        <f t="shared" si="5"/>
        <v>0</v>
      </c>
      <c r="AO18" s="180">
        <f t="shared" si="5"/>
        <v>0</v>
      </c>
      <c r="AP18" s="180">
        <f t="shared" si="5"/>
        <v>0</v>
      </c>
      <c r="AQ18" s="180">
        <f t="shared" si="5"/>
        <v>0</v>
      </c>
      <c r="AR18" s="180">
        <f t="shared" si="5"/>
        <v>0</v>
      </c>
      <c r="AS18" s="180">
        <f t="shared" si="5"/>
        <v>0</v>
      </c>
      <c r="AT18" s="180">
        <f t="shared" si="5"/>
        <v>0</v>
      </c>
      <c r="AU18" s="180">
        <f t="shared" si="5"/>
        <v>0</v>
      </c>
      <c r="AV18" s="180">
        <f t="shared" si="5"/>
        <v>0</v>
      </c>
      <c r="AW18" s="180">
        <f t="shared" si="5"/>
        <v>106420458</v>
      </c>
      <c r="AX18" s="180">
        <f t="shared" si="5"/>
        <v>0</v>
      </c>
      <c r="AY18" s="180">
        <f t="shared" si="5"/>
        <v>39014542</v>
      </c>
    </row>
    <row r="19" spans="1:51" ht="21" customHeight="1" thickBot="1">
      <c r="A19" s="134" t="s">
        <v>127</v>
      </c>
      <c r="B19" s="135" t="s">
        <v>130</v>
      </c>
      <c r="C19" s="135" t="s">
        <v>159</v>
      </c>
      <c r="D19" s="135" t="s">
        <v>131</v>
      </c>
      <c r="E19" s="135" t="s">
        <v>131</v>
      </c>
      <c r="F19" s="135" t="s">
        <v>134</v>
      </c>
      <c r="G19" s="184" t="s">
        <v>160</v>
      </c>
      <c r="H19" s="615">
        <v>145435000</v>
      </c>
      <c r="I19" s="612">
        <v>0</v>
      </c>
      <c r="J19" s="609">
        <f>SUM(H19:I19)</f>
        <v>145435000</v>
      </c>
      <c r="K19" s="617">
        <v>145435000</v>
      </c>
      <c r="L19" s="168">
        <v>0</v>
      </c>
      <c r="M19" s="136">
        <v>0</v>
      </c>
      <c r="N19" s="136">
        <v>0</v>
      </c>
      <c r="O19" s="136">
        <v>0</v>
      </c>
      <c r="P19" s="136">
        <v>0</v>
      </c>
      <c r="Q19" s="137">
        <v>0</v>
      </c>
      <c r="R19" s="136">
        <v>0</v>
      </c>
      <c r="S19" s="136">
        <v>0</v>
      </c>
      <c r="T19" s="136">
        <v>0</v>
      </c>
      <c r="U19" s="136">
        <v>0</v>
      </c>
      <c r="V19" s="623">
        <v>0</v>
      </c>
      <c r="W19" s="621">
        <f>SUM(K19:V19)</f>
        <v>145435000</v>
      </c>
      <c r="X19" s="168">
        <f aca="true" t="shared" si="6" ref="X19:AI19">K19</f>
        <v>145435000</v>
      </c>
      <c r="Y19" s="136">
        <f t="shared" si="6"/>
        <v>0</v>
      </c>
      <c r="Z19" s="136">
        <f t="shared" si="6"/>
        <v>0</v>
      </c>
      <c r="AA19" s="136">
        <f t="shared" si="6"/>
        <v>0</v>
      </c>
      <c r="AB19" s="136">
        <f t="shared" si="6"/>
        <v>0</v>
      </c>
      <c r="AC19" s="136">
        <f t="shared" si="6"/>
        <v>0</v>
      </c>
      <c r="AD19" s="137">
        <f t="shared" si="6"/>
        <v>0</v>
      </c>
      <c r="AE19" s="136">
        <f t="shared" si="6"/>
        <v>0</v>
      </c>
      <c r="AF19" s="136">
        <f t="shared" si="6"/>
        <v>0</v>
      </c>
      <c r="AG19" s="136">
        <f t="shared" si="6"/>
        <v>0</v>
      </c>
      <c r="AH19" s="136">
        <f t="shared" si="6"/>
        <v>0</v>
      </c>
      <c r="AI19" s="136">
        <f t="shared" si="6"/>
        <v>0</v>
      </c>
      <c r="AJ19" s="251">
        <f>SUM(X19:AI19)</f>
        <v>145435000</v>
      </c>
      <c r="AK19" s="168">
        <v>106420458</v>
      </c>
      <c r="AL19" s="136">
        <v>0</v>
      </c>
      <c r="AM19" s="136"/>
      <c r="AN19" s="136">
        <v>0</v>
      </c>
      <c r="AO19" s="136"/>
      <c r="AP19" s="137"/>
      <c r="AQ19" s="137"/>
      <c r="AR19" s="136"/>
      <c r="AS19" s="136"/>
      <c r="AT19" s="136"/>
      <c r="AU19" s="136"/>
      <c r="AV19" s="136"/>
      <c r="AW19" s="251">
        <f>SUM(AK19:AV19)</f>
        <v>106420458</v>
      </c>
      <c r="AX19" s="268">
        <f>J19-W19</f>
        <v>0</v>
      </c>
      <c r="AY19" s="269">
        <f>AJ19-AW19</f>
        <v>39014542</v>
      </c>
    </row>
    <row r="20" spans="1:51" ht="13.5" thickBot="1">
      <c r="A20" s="38"/>
      <c r="B20" s="38"/>
      <c r="C20" s="38"/>
      <c r="D20" s="38"/>
      <c r="E20" s="38"/>
      <c r="F20" s="38"/>
      <c r="G20" s="39"/>
      <c r="H20" s="36"/>
      <c r="I20" s="36"/>
      <c r="J20" s="36"/>
      <c r="K20" s="36"/>
      <c r="L20" s="36"/>
      <c r="M20" s="36"/>
      <c r="N20" s="36"/>
      <c r="O20" s="36"/>
      <c r="P20" s="36"/>
      <c r="Q20" s="40"/>
      <c r="R20" s="36"/>
      <c r="S20" s="36"/>
      <c r="T20" s="36"/>
      <c r="U20" s="36"/>
      <c r="V20" s="36"/>
      <c r="W20" s="254"/>
      <c r="X20" s="36"/>
      <c r="Y20" s="36"/>
      <c r="Z20" s="36"/>
      <c r="AA20" s="36"/>
      <c r="AB20" s="36"/>
      <c r="AC20" s="36"/>
      <c r="AD20" s="40"/>
      <c r="AE20" s="36"/>
      <c r="AF20" s="36"/>
      <c r="AG20" s="36"/>
      <c r="AH20" s="36"/>
      <c r="AI20" s="36"/>
      <c r="AJ20" s="254"/>
      <c r="AK20" s="36"/>
      <c r="AL20" s="36"/>
      <c r="AM20" s="36"/>
      <c r="AN20" s="36"/>
      <c r="AO20" s="36"/>
      <c r="AP20" s="36"/>
      <c r="AQ20" s="40"/>
      <c r="AR20" s="36"/>
      <c r="AS20" s="36"/>
      <c r="AT20" s="36"/>
      <c r="AU20" s="36"/>
      <c r="AV20" s="36"/>
      <c r="AW20" s="254"/>
      <c r="AX20" s="36"/>
      <c r="AY20" s="36"/>
    </row>
    <row r="21" spans="1:51" ht="13.5" thickBot="1">
      <c r="A21" s="169" t="s">
        <v>169</v>
      </c>
      <c r="B21" s="170"/>
      <c r="C21" s="170"/>
      <c r="D21" s="170"/>
      <c r="E21" s="170"/>
      <c r="F21" s="170"/>
      <c r="G21" s="171" t="s">
        <v>170</v>
      </c>
      <c r="H21" s="172">
        <f aca="true" t="shared" si="7" ref="H21:AY21">H25+H31</f>
        <v>8453883482</v>
      </c>
      <c r="I21" s="173">
        <f t="shared" si="7"/>
        <v>0</v>
      </c>
      <c r="J21" s="174">
        <f t="shared" si="7"/>
        <v>8453883482</v>
      </c>
      <c r="K21" s="172">
        <f t="shared" si="7"/>
        <v>8453883482</v>
      </c>
      <c r="L21" s="173">
        <f t="shared" si="7"/>
        <v>0</v>
      </c>
      <c r="M21" s="173">
        <f t="shared" si="7"/>
        <v>0</v>
      </c>
      <c r="N21" s="173">
        <f t="shared" si="7"/>
        <v>0</v>
      </c>
      <c r="O21" s="173">
        <f t="shared" si="7"/>
        <v>0</v>
      </c>
      <c r="P21" s="173">
        <f t="shared" si="7"/>
        <v>0</v>
      </c>
      <c r="Q21" s="175">
        <f t="shared" si="7"/>
        <v>0</v>
      </c>
      <c r="R21" s="173">
        <f t="shared" si="7"/>
        <v>0</v>
      </c>
      <c r="S21" s="173">
        <f t="shared" si="7"/>
        <v>0</v>
      </c>
      <c r="T21" s="173">
        <f t="shared" si="7"/>
        <v>0</v>
      </c>
      <c r="U21" s="173">
        <f t="shared" si="7"/>
        <v>0</v>
      </c>
      <c r="V21" s="173">
        <f t="shared" si="7"/>
        <v>0</v>
      </c>
      <c r="W21" s="174">
        <f t="shared" si="7"/>
        <v>8453883482</v>
      </c>
      <c r="X21" s="172">
        <f t="shared" si="7"/>
        <v>8453883482</v>
      </c>
      <c r="Y21" s="173">
        <f t="shared" si="7"/>
        <v>0</v>
      </c>
      <c r="Z21" s="173">
        <f t="shared" si="7"/>
        <v>0</v>
      </c>
      <c r="AA21" s="173">
        <f t="shared" si="7"/>
        <v>0</v>
      </c>
      <c r="AB21" s="173">
        <f t="shared" si="7"/>
        <v>0</v>
      </c>
      <c r="AC21" s="173">
        <f t="shared" si="7"/>
        <v>0</v>
      </c>
      <c r="AD21" s="175">
        <f t="shared" si="7"/>
        <v>0</v>
      </c>
      <c r="AE21" s="173">
        <f t="shared" si="7"/>
        <v>0</v>
      </c>
      <c r="AF21" s="173">
        <f t="shared" si="7"/>
        <v>0</v>
      </c>
      <c r="AG21" s="173">
        <f t="shared" si="7"/>
        <v>0</v>
      </c>
      <c r="AH21" s="173">
        <f t="shared" si="7"/>
        <v>0</v>
      </c>
      <c r="AI21" s="173">
        <f t="shared" si="7"/>
        <v>0</v>
      </c>
      <c r="AJ21" s="174">
        <f t="shared" si="7"/>
        <v>8453883482</v>
      </c>
      <c r="AK21" s="172">
        <f t="shared" si="7"/>
        <v>20576218</v>
      </c>
      <c r="AL21" s="173">
        <f t="shared" si="7"/>
        <v>4338342686</v>
      </c>
      <c r="AM21" s="173">
        <f t="shared" si="7"/>
        <v>924521525</v>
      </c>
      <c r="AN21" s="173">
        <f t="shared" si="7"/>
        <v>715656376</v>
      </c>
      <c r="AO21" s="173">
        <f t="shared" si="7"/>
        <v>718305521</v>
      </c>
      <c r="AP21" s="173">
        <f t="shared" si="7"/>
        <v>253054271</v>
      </c>
      <c r="AQ21" s="175">
        <f t="shared" si="7"/>
        <v>596996082</v>
      </c>
      <c r="AR21" s="173">
        <f t="shared" si="7"/>
        <v>236945245</v>
      </c>
      <c r="AS21" s="173">
        <f t="shared" si="7"/>
        <v>269135563</v>
      </c>
      <c r="AT21" s="173">
        <f t="shared" si="7"/>
        <v>5312000</v>
      </c>
      <c r="AU21" s="173">
        <f t="shared" si="7"/>
        <v>124406848</v>
      </c>
      <c r="AV21" s="173">
        <f t="shared" si="7"/>
        <v>49826294</v>
      </c>
      <c r="AW21" s="174">
        <f t="shared" si="7"/>
        <v>8253078629</v>
      </c>
      <c r="AX21" s="172">
        <f t="shared" si="7"/>
        <v>0</v>
      </c>
      <c r="AY21" s="174">
        <f t="shared" si="7"/>
        <v>200804853</v>
      </c>
    </row>
    <row r="22" spans="1:51" ht="13.5" thickBot="1">
      <c r="A22" s="38"/>
      <c r="B22" s="38"/>
      <c r="C22" s="38"/>
      <c r="D22" s="38"/>
      <c r="E22" s="38"/>
      <c r="F22" s="38"/>
      <c r="G22" s="39"/>
      <c r="H22" s="36"/>
      <c r="I22" s="36"/>
      <c r="J22" s="36"/>
      <c r="K22" s="36"/>
      <c r="L22" s="36"/>
      <c r="M22" s="36"/>
      <c r="N22" s="36"/>
      <c r="O22" s="36"/>
      <c r="P22" s="36"/>
      <c r="Q22" s="40"/>
      <c r="R22" s="36"/>
      <c r="S22" s="36"/>
      <c r="T22" s="36"/>
      <c r="U22" s="36"/>
      <c r="V22" s="36"/>
      <c r="W22" s="254"/>
      <c r="X22" s="36"/>
      <c r="Y22" s="36"/>
      <c r="Z22" s="36"/>
      <c r="AA22" s="36"/>
      <c r="AB22" s="36"/>
      <c r="AC22" s="36"/>
      <c r="AD22" s="40"/>
      <c r="AE22" s="36"/>
      <c r="AF22" s="36"/>
      <c r="AG22" s="36"/>
      <c r="AH22" s="36"/>
      <c r="AI22" s="36"/>
      <c r="AJ22" s="254"/>
      <c r="AK22" s="36"/>
      <c r="AL22" s="36"/>
      <c r="AM22" s="36"/>
      <c r="AN22" s="36"/>
      <c r="AO22" s="36"/>
      <c r="AP22" s="36"/>
      <c r="AQ22" s="40"/>
      <c r="AR22" s="36"/>
      <c r="AS22" s="36"/>
      <c r="AT22" s="36"/>
      <c r="AU22" s="36"/>
      <c r="AV22" s="36"/>
      <c r="AW22" s="254"/>
      <c r="AX22" s="36"/>
      <c r="AY22" s="36"/>
    </row>
    <row r="23" spans="1:51" ht="13.5" thickBot="1">
      <c r="A23" s="123" t="s">
        <v>126</v>
      </c>
      <c r="B23" s="124"/>
      <c r="C23" s="124"/>
      <c r="D23" s="124"/>
      <c r="E23" s="124"/>
      <c r="F23" s="124"/>
      <c r="G23" s="125"/>
      <c r="H23" s="126"/>
      <c r="I23" s="126"/>
      <c r="J23" s="126"/>
      <c r="K23" s="126"/>
      <c r="L23" s="126"/>
      <c r="M23" s="126"/>
      <c r="N23" s="126"/>
      <c r="O23" s="126"/>
      <c r="P23" s="126"/>
      <c r="Q23" s="127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7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7"/>
      <c r="AR23" s="126"/>
      <c r="AS23" s="126"/>
      <c r="AT23" s="126"/>
      <c r="AU23" s="126"/>
      <c r="AV23" s="126"/>
      <c r="AW23" s="126"/>
      <c r="AX23" s="126"/>
      <c r="AY23" s="128"/>
    </row>
    <row r="24" spans="1:51" ht="13.5" thickBot="1">
      <c r="A24" s="38"/>
      <c r="B24" s="38"/>
      <c r="C24" s="38"/>
      <c r="D24" s="38"/>
      <c r="E24" s="38"/>
      <c r="F24" s="38"/>
      <c r="G24" s="39"/>
      <c r="H24" s="36"/>
      <c r="I24" s="36"/>
      <c r="J24" s="36"/>
      <c r="K24" s="36"/>
      <c r="L24" s="36"/>
      <c r="M24" s="36"/>
      <c r="N24" s="36"/>
      <c r="O24" s="36"/>
      <c r="P24" s="36"/>
      <c r="Q24" s="40"/>
      <c r="R24" s="36"/>
      <c r="S24" s="36"/>
      <c r="T24" s="36"/>
      <c r="U24" s="36"/>
      <c r="V24" s="36"/>
      <c r="W24" s="254"/>
      <c r="X24" s="36"/>
      <c r="Y24" s="36"/>
      <c r="Z24" s="36"/>
      <c r="AA24" s="36"/>
      <c r="AB24" s="36"/>
      <c r="AC24" s="36"/>
      <c r="AD24" s="40"/>
      <c r="AE24" s="36"/>
      <c r="AF24" s="36"/>
      <c r="AG24" s="36"/>
      <c r="AH24" s="36"/>
      <c r="AI24" s="36"/>
      <c r="AJ24" s="254"/>
      <c r="AK24" s="36"/>
      <c r="AL24" s="36"/>
      <c r="AM24" s="36"/>
      <c r="AN24" s="36"/>
      <c r="AO24" s="36"/>
      <c r="AP24" s="36"/>
      <c r="AQ24" s="40"/>
      <c r="AR24" s="36"/>
      <c r="AS24" s="36"/>
      <c r="AT24" s="36"/>
      <c r="AU24" s="36"/>
      <c r="AV24" s="36"/>
      <c r="AW24" s="254"/>
      <c r="AX24" s="36"/>
      <c r="AY24" s="36"/>
    </row>
    <row r="25" spans="1:51" ht="30.75" customHeight="1" thickBot="1">
      <c r="A25" s="169" t="s">
        <v>169</v>
      </c>
      <c r="B25" s="170" t="s">
        <v>128</v>
      </c>
      <c r="C25" s="170" t="s">
        <v>128</v>
      </c>
      <c r="D25" s="170" t="s">
        <v>128</v>
      </c>
      <c r="E25" s="170" t="s">
        <v>128</v>
      </c>
      <c r="F25" s="170" t="s">
        <v>128</v>
      </c>
      <c r="G25" s="193" t="s">
        <v>171</v>
      </c>
      <c r="H25" s="172">
        <f aca="true" t="shared" si="8" ref="H25:AY25">H26</f>
        <v>1360306352</v>
      </c>
      <c r="I25" s="173">
        <f t="shared" si="8"/>
        <v>0</v>
      </c>
      <c r="J25" s="174">
        <f t="shared" si="8"/>
        <v>1360306352</v>
      </c>
      <c r="K25" s="172">
        <f t="shared" si="8"/>
        <v>1360306352</v>
      </c>
      <c r="L25" s="173">
        <f t="shared" si="8"/>
        <v>0</v>
      </c>
      <c r="M25" s="173">
        <f t="shared" si="8"/>
        <v>0</v>
      </c>
      <c r="N25" s="173">
        <f t="shared" si="8"/>
        <v>0</v>
      </c>
      <c r="O25" s="173">
        <f t="shared" si="8"/>
        <v>0</v>
      </c>
      <c r="P25" s="173">
        <f t="shared" si="8"/>
        <v>0</v>
      </c>
      <c r="Q25" s="175">
        <f t="shared" si="8"/>
        <v>0</v>
      </c>
      <c r="R25" s="173">
        <f t="shared" si="8"/>
        <v>0</v>
      </c>
      <c r="S25" s="173">
        <f t="shared" si="8"/>
        <v>0</v>
      </c>
      <c r="T25" s="173">
        <f t="shared" si="8"/>
        <v>0</v>
      </c>
      <c r="U25" s="173">
        <f t="shared" si="8"/>
        <v>0</v>
      </c>
      <c r="V25" s="173">
        <f t="shared" si="8"/>
        <v>0</v>
      </c>
      <c r="W25" s="174">
        <f t="shared" si="8"/>
        <v>1360306352</v>
      </c>
      <c r="X25" s="172">
        <f t="shared" si="8"/>
        <v>1360306352</v>
      </c>
      <c r="Y25" s="173">
        <f t="shared" si="8"/>
        <v>0</v>
      </c>
      <c r="Z25" s="173">
        <f t="shared" si="8"/>
        <v>0</v>
      </c>
      <c r="AA25" s="173">
        <f t="shared" si="8"/>
        <v>0</v>
      </c>
      <c r="AB25" s="173">
        <f t="shared" si="8"/>
        <v>0</v>
      </c>
      <c r="AC25" s="173">
        <f t="shared" si="8"/>
        <v>0</v>
      </c>
      <c r="AD25" s="175">
        <f t="shared" si="8"/>
        <v>0</v>
      </c>
      <c r="AE25" s="173">
        <f t="shared" si="8"/>
        <v>0</v>
      </c>
      <c r="AF25" s="173">
        <f t="shared" si="8"/>
        <v>0</v>
      </c>
      <c r="AG25" s="173">
        <f t="shared" si="8"/>
        <v>0</v>
      </c>
      <c r="AH25" s="173">
        <f t="shared" si="8"/>
        <v>0</v>
      </c>
      <c r="AI25" s="173">
        <f t="shared" si="8"/>
        <v>0</v>
      </c>
      <c r="AJ25" s="174">
        <f t="shared" si="8"/>
        <v>1360306352</v>
      </c>
      <c r="AK25" s="172">
        <f t="shared" si="8"/>
        <v>20576218</v>
      </c>
      <c r="AL25" s="173">
        <f t="shared" si="8"/>
        <v>578279695</v>
      </c>
      <c r="AM25" s="173">
        <f t="shared" si="8"/>
        <v>24568884</v>
      </c>
      <c r="AN25" s="173">
        <f t="shared" si="8"/>
        <v>14268495</v>
      </c>
      <c r="AO25" s="173">
        <f t="shared" si="8"/>
        <v>168502482</v>
      </c>
      <c r="AP25" s="173">
        <f t="shared" si="8"/>
        <v>0</v>
      </c>
      <c r="AQ25" s="175">
        <f t="shared" si="8"/>
        <v>366307786</v>
      </c>
      <c r="AR25" s="173">
        <f t="shared" si="8"/>
        <v>1340329</v>
      </c>
      <c r="AS25" s="173">
        <f t="shared" si="8"/>
        <v>0</v>
      </c>
      <c r="AT25" s="173">
        <f t="shared" si="8"/>
        <v>0</v>
      </c>
      <c r="AU25" s="173">
        <f t="shared" si="8"/>
        <v>0</v>
      </c>
      <c r="AV25" s="173">
        <f t="shared" si="8"/>
        <v>2676656</v>
      </c>
      <c r="AW25" s="174">
        <f t="shared" si="8"/>
        <v>1176520545</v>
      </c>
      <c r="AX25" s="173">
        <f t="shared" si="8"/>
        <v>0</v>
      </c>
      <c r="AY25" s="174">
        <f t="shared" si="8"/>
        <v>183785807</v>
      </c>
    </row>
    <row r="26" spans="1:51" ht="30.75" customHeight="1">
      <c r="A26" s="176" t="s">
        <v>169</v>
      </c>
      <c r="B26" s="177" t="s">
        <v>130</v>
      </c>
      <c r="C26" s="177" t="s">
        <v>172</v>
      </c>
      <c r="D26" s="177" t="s">
        <v>255</v>
      </c>
      <c r="E26" s="177" t="s">
        <v>128</v>
      </c>
      <c r="F26" s="177" t="s">
        <v>128</v>
      </c>
      <c r="G26" s="194" t="s">
        <v>173</v>
      </c>
      <c r="H26" s="180">
        <f aca="true" t="shared" si="9" ref="H26:AB26">H27</f>
        <v>1360306352</v>
      </c>
      <c r="I26" s="181">
        <f t="shared" si="9"/>
        <v>0</v>
      </c>
      <c r="J26" s="182">
        <f t="shared" si="9"/>
        <v>1360306352</v>
      </c>
      <c r="K26" s="180">
        <f t="shared" si="9"/>
        <v>1360306352</v>
      </c>
      <c r="L26" s="181">
        <f t="shared" si="9"/>
        <v>0</v>
      </c>
      <c r="M26" s="181">
        <f t="shared" si="9"/>
        <v>0</v>
      </c>
      <c r="N26" s="181">
        <f t="shared" si="9"/>
        <v>0</v>
      </c>
      <c r="O26" s="181">
        <f t="shared" si="9"/>
        <v>0</v>
      </c>
      <c r="P26" s="181">
        <f t="shared" si="9"/>
        <v>0</v>
      </c>
      <c r="Q26" s="183">
        <f t="shared" si="9"/>
        <v>0</v>
      </c>
      <c r="R26" s="181">
        <f t="shared" si="9"/>
        <v>0</v>
      </c>
      <c r="S26" s="181">
        <f t="shared" si="9"/>
        <v>0</v>
      </c>
      <c r="T26" s="181">
        <f t="shared" si="9"/>
        <v>0</v>
      </c>
      <c r="U26" s="181">
        <f t="shared" si="9"/>
        <v>0</v>
      </c>
      <c r="V26" s="181">
        <f t="shared" si="9"/>
        <v>0</v>
      </c>
      <c r="W26" s="182">
        <f t="shared" si="9"/>
        <v>1360306352</v>
      </c>
      <c r="X26" s="180">
        <f t="shared" si="9"/>
        <v>1360306352</v>
      </c>
      <c r="Y26" s="181">
        <f t="shared" si="9"/>
        <v>0</v>
      </c>
      <c r="Z26" s="181">
        <f t="shared" si="9"/>
        <v>0</v>
      </c>
      <c r="AA26" s="181">
        <f t="shared" si="9"/>
        <v>0</v>
      </c>
      <c r="AB26" s="181">
        <f t="shared" si="9"/>
        <v>0</v>
      </c>
      <c r="AC26" s="181">
        <f aca="true" t="shared" si="10" ref="AC26:AY26">AC27</f>
        <v>0</v>
      </c>
      <c r="AD26" s="183">
        <f t="shared" si="10"/>
        <v>0</v>
      </c>
      <c r="AE26" s="181">
        <f t="shared" si="10"/>
        <v>0</v>
      </c>
      <c r="AF26" s="181">
        <f t="shared" si="10"/>
        <v>0</v>
      </c>
      <c r="AG26" s="181">
        <f t="shared" si="10"/>
        <v>0</v>
      </c>
      <c r="AH26" s="181">
        <f t="shared" si="10"/>
        <v>0</v>
      </c>
      <c r="AI26" s="181">
        <f t="shared" si="10"/>
        <v>0</v>
      </c>
      <c r="AJ26" s="182">
        <f t="shared" si="10"/>
        <v>1360306352</v>
      </c>
      <c r="AK26" s="180">
        <f t="shared" si="10"/>
        <v>20576218</v>
      </c>
      <c r="AL26" s="181">
        <f t="shared" si="10"/>
        <v>578279695</v>
      </c>
      <c r="AM26" s="181">
        <f t="shared" si="10"/>
        <v>24568884</v>
      </c>
      <c r="AN26" s="181">
        <f t="shared" si="10"/>
        <v>14268495</v>
      </c>
      <c r="AO26" s="181">
        <f t="shared" si="10"/>
        <v>168502482</v>
      </c>
      <c r="AP26" s="181">
        <f t="shared" si="10"/>
        <v>0</v>
      </c>
      <c r="AQ26" s="183">
        <f t="shared" si="10"/>
        <v>366307786</v>
      </c>
      <c r="AR26" s="181">
        <f t="shared" si="10"/>
        <v>1340329</v>
      </c>
      <c r="AS26" s="181">
        <f t="shared" si="10"/>
        <v>0</v>
      </c>
      <c r="AT26" s="181">
        <f t="shared" si="10"/>
        <v>0</v>
      </c>
      <c r="AU26" s="181">
        <f t="shared" si="10"/>
        <v>0</v>
      </c>
      <c r="AV26" s="181">
        <f t="shared" si="10"/>
        <v>2676656</v>
      </c>
      <c r="AW26" s="182">
        <f t="shared" si="10"/>
        <v>1176520545</v>
      </c>
      <c r="AX26" s="270">
        <f t="shared" si="10"/>
        <v>0</v>
      </c>
      <c r="AY26" s="265">
        <f t="shared" si="10"/>
        <v>183785807</v>
      </c>
    </row>
    <row r="27" spans="1:51" ht="30.75" customHeight="1" thickBot="1">
      <c r="A27" s="134" t="s">
        <v>169</v>
      </c>
      <c r="B27" s="135" t="s">
        <v>130</v>
      </c>
      <c r="C27" s="135" t="s">
        <v>172</v>
      </c>
      <c r="D27" s="135" t="s">
        <v>174</v>
      </c>
      <c r="E27" s="135" t="s">
        <v>138</v>
      </c>
      <c r="F27" s="135" t="s">
        <v>134</v>
      </c>
      <c r="G27" s="274" t="s">
        <v>175</v>
      </c>
      <c r="H27" s="168">
        <v>1360306352</v>
      </c>
      <c r="I27" s="136">
        <v>0</v>
      </c>
      <c r="J27" s="251">
        <f>SUM(H27:I27)</f>
        <v>1360306352</v>
      </c>
      <c r="K27" s="168">
        <v>1360306352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7">
        <v>0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251">
        <f>SUM(K27:V27)</f>
        <v>1360306352</v>
      </c>
      <c r="X27" s="168">
        <f aca="true" t="shared" si="11" ref="X27:AI27">K27</f>
        <v>1360306352</v>
      </c>
      <c r="Y27" s="136">
        <v>0</v>
      </c>
      <c r="Z27" s="136">
        <f t="shared" si="11"/>
        <v>0</v>
      </c>
      <c r="AA27" s="136">
        <f t="shared" si="11"/>
        <v>0</v>
      </c>
      <c r="AB27" s="136">
        <f t="shared" si="11"/>
        <v>0</v>
      </c>
      <c r="AC27" s="136">
        <f t="shared" si="11"/>
        <v>0</v>
      </c>
      <c r="AD27" s="137">
        <f t="shared" si="11"/>
        <v>0</v>
      </c>
      <c r="AE27" s="136">
        <f t="shared" si="11"/>
        <v>0</v>
      </c>
      <c r="AF27" s="136">
        <f t="shared" si="11"/>
        <v>0</v>
      </c>
      <c r="AG27" s="136">
        <f t="shared" si="11"/>
        <v>0</v>
      </c>
      <c r="AH27" s="136">
        <f t="shared" si="11"/>
        <v>0</v>
      </c>
      <c r="AI27" s="136">
        <f t="shared" si="11"/>
        <v>0</v>
      </c>
      <c r="AJ27" s="251">
        <f>SUM(X27:AI27)</f>
        <v>1360306352</v>
      </c>
      <c r="AK27" s="168">
        <v>20576218</v>
      </c>
      <c r="AL27" s="136">
        <v>578279695</v>
      </c>
      <c r="AM27" s="136">
        <v>24568884</v>
      </c>
      <c r="AN27" s="136">
        <v>14268495</v>
      </c>
      <c r="AO27" s="136">
        <v>168502482</v>
      </c>
      <c r="AP27" s="136">
        <v>0</v>
      </c>
      <c r="AQ27" s="137">
        <v>366307786</v>
      </c>
      <c r="AR27" s="136">
        <v>1340329</v>
      </c>
      <c r="AS27" s="136">
        <v>0</v>
      </c>
      <c r="AT27" s="136">
        <v>0</v>
      </c>
      <c r="AU27" s="136">
        <v>0</v>
      </c>
      <c r="AV27" s="136">
        <v>2676656</v>
      </c>
      <c r="AW27" s="251">
        <f>SUM(AK27:AV27)</f>
        <v>1176520545</v>
      </c>
      <c r="AX27" s="272">
        <f>J27-W27</f>
        <v>0</v>
      </c>
      <c r="AY27" s="269">
        <f>AJ27-AW27</f>
        <v>183785807</v>
      </c>
    </row>
    <row r="28" ht="13.5" thickBot="1"/>
    <row r="29" spans="1:51" ht="13.5" thickBot="1">
      <c r="A29" s="123" t="s">
        <v>189</v>
      </c>
      <c r="B29" s="124"/>
      <c r="C29" s="124"/>
      <c r="D29" s="124"/>
      <c r="E29" s="124"/>
      <c r="F29" s="124"/>
      <c r="G29" s="125"/>
      <c r="H29" s="126"/>
      <c r="I29" s="126"/>
      <c r="J29" s="126"/>
      <c r="K29" s="126"/>
      <c r="L29" s="126"/>
      <c r="M29" s="126"/>
      <c r="N29" s="126"/>
      <c r="O29" s="126"/>
      <c r="P29" s="126"/>
      <c r="Q29" s="127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7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7"/>
      <c r="AR29" s="126"/>
      <c r="AS29" s="126"/>
      <c r="AT29" s="126"/>
      <c r="AU29" s="126"/>
      <c r="AV29" s="126"/>
      <c r="AW29" s="126"/>
      <c r="AX29" s="126"/>
      <c r="AY29" s="128"/>
    </row>
    <row r="30" ht="13.5" thickBot="1"/>
    <row r="31" spans="1:51" ht="30.75" customHeight="1" thickBot="1">
      <c r="A31" s="169" t="s">
        <v>169</v>
      </c>
      <c r="B31" s="170" t="s">
        <v>128</v>
      </c>
      <c r="C31" s="170" t="s">
        <v>128</v>
      </c>
      <c r="D31" s="170" t="s">
        <v>128</v>
      </c>
      <c r="E31" s="170" t="s">
        <v>128</v>
      </c>
      <c r="F31" s="170" t="s">
        <v>128</v>
      </c>
      <c r="G31" s="193" t="s">
        <v>190</v>
      </c>
      <c r="H31" s="172">
        <f aca="true" t="shared" si="12" ref="H31:AB31">H32</f>
        <v>7093577130</v>
      </c>
      <c r="I31" s="173">
        <f t="shared" si="12"/>
        <v>0</v>
      </c>
      <c r="J31" s="174">
        <f>H32</f>
        <v>7093577130</v>
      </c>
      <c r="K31" s="173">
        <f t="shared" si="12"/>
        <v>7093577130</v>
      </c>
      <c r="L31" s="173">
        <f t="shared" si="12"/>
        <v>0</v>
      </c>
      <c r="M31" s="173">
        <f t="shared" si="12"/>
        <v>0</v>
      </c>
      <c r="N31" s="173">
        <f t="shared" si="12"/>
        <v>0</v>
      </c>
      <c r="O31" s="173">
        <f t="shared" si="12"/>
        <v>0</v>
      </c>
      <c r="P31" s="173">
        <f t="shared" si="12"/>
        <v>0</v>
      </c>
      <c r="Q31" s="175">
        <f t="shared" si="12"/>
        <v>0</v>
      </c>
      <c r="R31" s="173">
        <f t="shared" si="12"/>
        <v>0</v>
      </c>
      <c r="S31" s="173">
        <f t="shared" si="12"/>
        <v>0</v>
      </c>
      <c r="T31" s="173">
        <f t="shared" si="12"/>
        <v>0</v>
      </c>
      <c r="U31" s="173">
        <f t="shared" si="12"/>
        <v>0</v>
      </c>
      <c r="V31" s="173">
        <f t="shared" si="12"/>
        <v>0</v>
      </c>
      <c r="W31" s="173">
        <f t="shared" si="12"/>
        <v>7093577130</v>
      </c>
      <c r="X31" s="173">
        <f t="shared" si="12"/>
        <v>7093577130</v>
      </c>
      <c r="Y31" s="173">
        <f t="shared" si="12"/>
        <v>0</v>
      </c>
      <c r="Z31" s="173">
        <f t="shared" si="12"/>
        <v>0</v>
      </c>
      <c r="AA31" s="173">
        <f t="shared" si="12"/>
        <v>0</v>
      </c>
      <c r="AB31" s="173">
        <f t="shared" si="12"/>
        <v>0</v>
      </c>
      <c r="AC31" s="173">
        <f aca="true" t="shared" si="13" ref="AC31:AY31">AC32</f>
        <v>0</v>
      </c>
      <c r="AD31" s="175">
        <f t="shared" si="13"/>
        <v>0</v>
      </c>
      <c r="AE31" s="173">
        <f t="shared" si="13"/>
        <v>0</v>
      </c>
      <c r="AF31" s="173">
        <f t="shared" si="13"/>
        <v>0</v>
      </c>
      <c r="AG31" s="173">
        <f t="shared" si="13"/>
        <v>0</v>
      </c>
      <c r="AH31" s="173">
        <f t="shared" si="13"/>
        <v>0</v>
      </c>
      <c r="AI31" s="173">
        <f t="shared" si="13"/>
        <v>0</v>
      </c>
      <c r="AJ31" s="173">
        <f t="shared" si="13"/>
        <v>7093577130</v>
      </c>
      <c r="AK31" s="172">
        <f t="shared" si="13"/>
        <v>0</v>
      </c>
      <c r="AL31" s="173">
        <f t="shared" si="13"/>
        <v>3760062991</v>
      </c>
      <c r="AM31" s="173">
        <f t="shared" si="13"/>
        <v>899952641</v>
      </c>
      <c r="AN31" s="173">
        <f t="shared" si="13"/>
        <v>701387881</v>
      </c>
      <c r="AO31" s="173">
        <f t="shared" si="13"/>
        <v>549803039</v>
      </c>
      <c r="AP31" s="173">
        <f t="shared" si="13"/>
        <v>253054271</v>
      </c>
      <c r="AQ31" s="175">
        <f t="shared" si="13"/>
        <v>230688296</v>
      </c>
      <c r="AR31" s="173">
        <f t="shared" si="13"/>
        <v>235604916</v>
      </c>
      <c r="AS31" s="173">
        <f t="shared" si="13"/>
        <v>269135563</v>
      </c>
      <c r="AT31" s="173">
        <f t="shared" si="13"/>
        <v>5312000</v>
      </c>
      <c r="AU31" s="173">
        <f t="shared" si="13"/>
        <v>124406848</v>
      </c>
      <c r="AV31" s="173">
        <f t="shared" si="13"/>
        <v>47149638</v>
      </c>
      <c r="AW31" s="174">
        <f t="shared" si="13"/>
        <v>7076558084</v>
      </c>
      <c r="AX31" s="173">
        <f t="shared" si="13"/>
        <v>0</v>
      </c>
      <c r="AY31" s="174">
        <f t="shared" si="13"/>
        <v>17019046</v>
      </c>
    </row>
    <row r="32" spans="1:51" ht="30.75" customHeight="1">
      <c r="A32" s="176" t="s">
        <v>169</v>
      </c>
      <c r="B32" s="177" t="s">
        <v>130</v>
      </c>
      <c r="C32" s="177" t="s">
        <v>180</v>
      </c>
      <c r="D32" s="177" t="s">
        <v>128</v>
      </c>
      <c r="E32" s="177" t="s">
        <v>128</v>
      </c>
      <c r="F32" s="177" t="s">
        <v>128</v>
      </c>
      <c r="G32" s="194" t="s">
        <v>181</v>
      </c>
      <c r="H32" s="180">
        <f>SUM(H33:H37)</f>
        <v>7093577130</v>
      </c>
      <c r="I32" s="181">
        <f aca="true" t="shared" si="14" ref="I32:AB32">SUM(I33:I37)</f>
        <v>0</v>
      </c>
      <c r="J32" s="182">
        <f t="shared" si="14"/>
        <v>7093577130</v>
      </c>
      <c r="K32" s="181">
        <f t="shared" si="14"/>
        <v>7093577130</v>
      </c>
      <c r="L32" s="181">
        <f t="shared" si="14"/>
        <v>0</v>
      </c>
      <c r="M32" s="181">
        <f t="shared" si="14"/>
        <v>0</v>
      </c>
      <c r="N32" s="181">
        <f t="shared" si="14"/>
        <v>0</v>
      </c>
      <c r="O32" s="181">
        <f t="shared" si="14"/>
        <v>0</v>
      </c>
      <c r="P32" s="181">
        <f t="shared" si="14"/>
        <v>0</v>
      </c>
      <c r="Q32" s="183">
        <f t="shared" si="14"/>
        <v>0</v>
      </c>
      <c r="R32" s="181">
        <f t="shared" si="14"/>
        <v>0</v>
      </c>
      <c r="S32" s="181">
        <f t="shared" si="14"/>
        <v>0</v>
      </c>
      <c r="T32" s="181">
        <f t="shared" si="14"/>
        <v>0</v>
      </c>
      <c r="U32" s="181">
        <f t="shared" si="14"/>
        <v>0</v>
      </c>
      <c r="V32" s="181">
        <f t="shared" si="14"/>
        <v>0</v>
      </c>
      <c r="W32" s="181">
        <f t="shared" si="14"/>
        <v>7093577130</v>
      </c>
      <c r="X32" s="181">
        <f t="shared" si="14"/>
        <v>7093577130</v>
      </c>
      <c r="Y32" s="181">
        <f t="shared" si="14"/>
        <v>0</v>
      </c>
      <c r="Z32" s="181">
        <f t="shared" si="14"/>
        <v>0</v>
      </c>
      <c r="AA32" s="181">
        <f t="shared" si="14"/>
        <v>0</v>
      </c>
      <c r="AB32" s="181">
        <f t="shared" si="14"/>
        <v>0</v>
      </c>
      <c r="AC32" s="181">
        <f aca="true" t="shared" si="15" ref="AC32:AY32">SUM(AC33:AC37)</f>
        <v>0</v>
      </c>
      <c r="AD32" s="183">
        <f t="shared" si="15"/>
        <v>0</v>
      </c>
      <c r="AE32" s="181">
        <f t="shared" si="15"/>
        <v>0</v>
      </c>
      <c r="AF32" s="181">
        <f t="shared" si="15"/>
        <v>0</v>
      </c>
      <c r="AG32" s="181">
        <f t="shared" si="15"/>
        <v>0</v>
      </c>
      <c r="AH32" s="181">
        <f t="shared" si="15"/>
        <v>0</v>
      </c>
      <c r="AI32" s="181">
        <f t="shared" si="15"/>
        <v>0</v>
      </c>
      <c r="AJ32" s="181">
        <f t="shared" si="15"/>
        <v>7093577130</v>
      </c>
      <c r="AK32" s="180">
        <f t="shared" si="15"/>
        <v>0</v>
      </c>
      <c r="AL32" s="181">
        <f t="shared" si="15"/>
        <v>3760062991</v>
      </c>
      <c r="AM32" s="181">
        <f t="shared" si="15"/>
        <v>899952641</v>
      </c>
      <c r="AN32" s="181">
        <f t="shared" si="15"/>
        <v>701387881</v>
      </c>
      <c r="AO32" s="181">
        <f t="shared" si="15"/>
        <v>549803039</v>
      </c>
      <c r="AP32" s="181">
        <f t="shared" si="15"/>
        <v>253054271</v>
      </c>
      <c r="AQ32" s="183">
        <f t="shared" si="15"/>
        <v>230688296</v>
      </c>
      <c r="AR32" s="181">
        <f t="shared" si="15"/>
        <v>235604916</v>
      </c>
      <c r="AS32" s="181">
        <f t="shared" si="15"/>
        <v>269135563</v>
      </c>
      <c r="AT32" s="181">
        <f t="shared" si="15"/>
        <v>5312000</v>
      </c>
      <c r="AU32" s="181">
        <f t="shared" si="15"/>
        <v>124406848</v>
      </c>
      <c r="AV32" s="181">
        <f t="shared" si="15"/>
        <v>47149638</v>
      </c>
      <c r="AW32" s="182">
        <f t="shared" si="15"/>
        <v>7076558084</v>
      </c>
      <c r="AX32" s="270">
        <f t="shared" si="15"/>
        <v>0</v>
      </c>
      <c r="AY32" s="265">
        <f t="shared" si="15"/>
        <v>17019046</v>
      </c>
    </row>
    <row r="33" spans="1:51" ht="30.75" customHeight="1">
      <c r="A33" s="133" t="s">
        <v>169</v>
      </c>
      <c r="B33" s="129" t="s">
        <v>130</v>
      </c>
      <c r="C33" s="129" t="s">
        <v>180</v>
      </c>
      <c r="D33" s="129" t="s">
        <v>191</v>
      </c>
      <c r="E33" s="129" t="s">
        <v>138</v>
      </c>
      <c r="F33" s="129" t="s">
        <v>192</v>
      </c>
      <c r="G33" s="273" t="s">
        <v>193</v>
      </c>
      <c r="H33" s="167">
        <v>3712870000</v>
      </c>
      <c r="I33" s="131">
        <v>0</v>
      </c>
      <c r="J33" s="250">
        <f>SUM(H33:I33)</f>
        <v>3712870000</v>
      </c>
      <c r="K33" s="131">
        <v>3712870000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2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258">
        <f>SUM(K33:V33)</f>
        <v>3712870000</v>
      </c>
      <c r="X33" s="131">
        <f aca="true" t="shared" si="16" ref="X33:AI37">K33</f>
        <v>3712870000</v>
      </c>
      <c r="Y33" s="131">
        <f t="shared" si="16"/>
        <v>0</v>
      </c>
      <c r="Z33" s="131">
        <f t="shared" si="16"/>
        <v>0</v>
      </c>
      <c r="AA33" s="131">
        <f t="shared" si="16"/>
        <v>0</v>
      </c>
      <c r="AB33" s="131">
        <f t="shared" si="16"/>
        <v>0</v>
      </c>
      <c r="AC33" s="131">
        <f t="shared" si="16"/>
        <v>0</v>
      </c>
      <c r="AD33" s="132">
        <f t="shared" si="16"/>
        <v>0</v>
      </c>
      <c r="AE33" s="131">
        <f t="shared" si="16"/>
        <v>0</v>
      </c>
      <c r="AF33" s="131">
        <f t="shared" si="16"/>
        <v>0</v>
      </c>
      <c r="AG33" s="131">
        <f t="shared" si="16"/>
        <v>0</v>
      </c>
      <c r="AH33" s="131">
        <f t="shared" si="16"/>
        <v>0</v>
      </c>
      <c r="AI33" s="131">
        <f t="shared" si="16"/>
        <v>0</v>
      </c>
      <c r="AJ33" s="258">
        <f>SUM(X33:AI33)</f>
        <v>3712870000</v>
      </c>
      <c r="AK33" s="167">
        <v>0</v>
      </c>
      <c r="AL33" s="131">
        <v>2758638665</v>
      </c>
      <c r="AM33" s="131">
        <v>559237335</v>
      </c>
      <c r="AN33" s="131">
        <v>30374000</v>
      </c>
      <c r="AO33" s="131">
        <v>346434000</v>
      </c>
      <c r="AP33" s="131">
        <v>0</v>
      </c>
      <c r="AQ33" s="132">
        <v>0</v>
      </c>
      <c r="AR33" s="131">
        <v>18185600</v>
      </c>
      <c r="AS33" s="131">
        <v>0</v>
      </c>
      <c r="AT33" s="131">
        <v>0</v>
      </c>
      <c r="AU33" s="131">
        <v>0</v>
      </c>
      <c r="AV33" s="131">
        <v>0</v>
      </c>
      <c r="AW33" s="250">
        <f>SUM(AK33:AV33)</f>
        <v>3712869600</v>
      </c>
      <c r="AX33" s="271">
        <f>J33-W33</f>
        <v>0</v>
      </c>
      <c r="AY33" s="267">
        <f>AJ33-AW33</f>
        <v>400</v>
      </c>
    </row>
    <row r="34" spans="1:51" ht="30.75" customHeight="1">
      <c r="A34" s="133" t="s">
        <v>169</v>
      </c>
      <c r="B34" s="129" t="s">
        <v>130</v>
      </c>
      <c r="C34" s="129" t="s">
        <v>180</v>
      </c>
      <c r="D34" s="129" t="s">
        <v>184</v>
      </c>
      <c r="E34" s="129" t="s">
        <v>185</v>
      </c>
      <c r="F34" s="129" t="s">
        <v>192</v>
      </c>
      <c r="G34" s="273" t="s">
        <v>277</v>
      </c>
      <c r="H34" s="167">
        <v>525703624</v>
      </c>
      <c r="I34" s="131"/>
      <c r="J34" s="250">
        <f>SUM(H34:I34)</f>
        <v>525703624</v>
      </c>
      <c r="K34" s="131">
        <v>525703624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2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258">
        <f>SUM(K34:V34)</f>
        <v>525703624</v>
      </c>
      <c r="X34" s="131">
        <f aca="true" t="shared" si="17" ref="X34:AI34">K34</f>
        <v>525703624</v>
      </c>
      <c r="Y34" s="131">
        <f t="shared" si="17"/>
        <v>0</v>
      </c>
      <c r="Z34" s="131">
        <f t="shared" si="17"/>
        <v>0</v>
      </c>
      <c r="AA34" s="131">
        <f t="shared" si="17"/>
        <v>0</v>
      </c>
      <c r="AB34" s="131">
        <f t="shared" si="17"/>
        <v>0</v>
      </c>
      <c r="AC34" s="131">
        <f t="shared" si="17"/>
        <v>0</v>
      </c>
      <c r="AD34" s="132">
        <f t="shared" si="17"/>
        <v>0</v>
      </c>
      <c r="AE34" s="131">
        <f t="shared" si="17"/>
        <v>0</v>
      </c>
      <c r="AF34" s="131">
        <f t="shared" si="17"/>
        <v>0</v>
      </c>
      <c r="AG34" s="131">
        <f t="shared" si="17"/>
        <v>0</v>
      </c>
      <c r="AH34" s="131">
        <f t="shared" si="17"/>
        <v>0</v>
      </c>
      <c r="AI34" s="131">
        <f t="shared" si="17"/>
        <v>0</v>
      </c>
      <c r="AJ34" s="258">
        <f>SUM(X34:AI34)</f>
        <v>525703624</v>
      </c>
      <c r="AK34" s="167">
        <v>0</v>
      </c>
      <c r="AL34" s="131">
        <v>525672600</v>
      </c>
      <c r="AM34" s="131">
        <v>0</v>
      </c>
      <c r="AN34" s="131">
        <v>0</v>
      </c>
      <c r="AO34" s="131">
        <v>31024</v>
      </c>
      <c r="AP34" s="131">
        <v>0</v>
      </c>
      <c r="AQ34" s="132">
        <v>0</v>
      </c>
      <c r="AR34" s="131">
        <v>0</v>
      </c>
      <c r="AS34" s="131">
        <v>0</v>
      </c>
      <c r="AT34" s="131">
        <v>0</v>
      </c>
      <c r="AU34" s="131">
        <v>0</v>
      </c>
      <c r="AV34" s="131">
        <v>0</v>
      </c>
      <c r="AW34" s="250">
        <f>SUM(AK34:AV34)</f>
        <v>525703624</v>
      </c>
      <c r="AX34" s="271">
        <f>J34-W34</f>
        <v>0</v>
      </c>
      <c r="AY34" s="267">
        <f>AJ34-AW34</f>
        <v>0</v>
      </c>
    </row>
    <row r="35" spans="1:51" ht="30.75" customHeight="1">
      <c r="A35" s="133" t="s">
        <v>169</v>
      </c>
      <c r="B35" s="129" t="s">
        <v>130</v>
      </c>
      <c r="C35" s="129" t="s">
        <v>180</v>
      </c>
      <c r="D35" s="129" t="s">
        <v>184</v>
      </c>
      <c r="E35" s="129" t="s">
        <v>248</v>
      </c>
      <c r="F35" s="422" t="s">
        <v>192</v>
      </c>
      <c r="G35" s="273" t="s">
        <v>194</v>
      </c>
      <c r="H35" s="131">
        <v>2066847634</v>
      </c>
      <c r="I35" s="131">
        <v>0</v>
      </c>
      <c r="J35" s="250">
        <f>SUM(H35:I35)</f>
        <v>2066847634</v>
      </c>
      <c r="K35" s="131">
        <v>2066847634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2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258">
        <f>SUM(K35:V35)</f>
        <v>2066847634</v>
      </c>
      <c r="X35" s="131">
        <f t="shared" si="16"/>
        <v>2066847634</v>
      </c>
      <c r="Y35" s="131">
        <f t="shared" si="16"/>
        <v>0</v>
      </c>
      <c r="Z35" s="131">
        <f t="shared" si="16"/>
        <v>0</v>
      </c>
      <c r="AA35" s="131">
        <f t="shared" si="16"/>
        <v>0</v>
      </c>
      <c r="AB35" s="131">
        <f t="shared" si="16"/>
        <v>0</v>
      </c>
      <c r="AC35" s="131">
        <f t="shared" si="16"/>
        <v>0</v>
      </c>
      <c r="AD35" s="132">
        <f t="shared" si="16"/>
        <v>0</v>
      </c>
      <c r="AE35" s="131">
        <f t="shared" si="16"/>
        <v>0</v>
      </c>
      <c r="AF35" s="131">
        <f t="shared" si="16"/>
        <v>0</v>
      </c>
      <c r="AG35" s="131">
        <f t="shared" si="16"/>
        <v>0</v>
      </c>
      <c r="AH35" s="131">
        <f t="shared" si="16"/>
        <v>0</v>
      </c>
      <c r="AI35" s="131">
        <f t="shared" si="16"/>
        <v>0</v>
      </c>
      <c r="AJ35" s="258">
        <f>SUM(X35:AI35)</f>
        <v>2066847634</v>
      </c>
      <c r="AK35" s="167">
        <v>0</v>
      </c>
      <c r="AL35" s="131">
        <v>364556826</v>
      </c>
      <c r="AM35" s="131">
        <v>340715306</v>
      </c>
      <c r="AN35" s="131">
        <v>480662881</v>
      </c>
      <c r="AO35" s="131">
        <v>158923015</v>
      </c>
      <c r="AP35" s="131">
        <v>149419271</v>
      </c>
      <c r="AQ35" s="132">
        <v>183528296</v>
      </c>
      <c r="AR35" s="131">
        <v>111314516</v>
      </c>
      <c r="AS35" s="131">
        <v>215574263</v>
      </c>
      <c r="AT35" s="131">
        <v>5312000</v>
      </c>
      <c r="AU35" s="131">
        <v>44793832</v>
      </c>
      <c r="AV35" s="131">
        <v>11192638</v>
      </c>
      <c r="AW35" s="250">
        <f>SUM(AK35:AV35)</f>
        <v>2065992844</v>
      </c>
      <c r="AX35" s="271">
        <f>J35-W35</f>
        <v>0</v>
      </c>
      <c r="AY35" s="267">
        <f>AJ35-AW35</f>
        <v>854790</v>
      </c>
    </row>
    <row r="36" spans="1:51" ht="30.75" customHeight="1">
      <c r="A36" s="133" t="s">
        <v>169</v>
      </c>
      <c r="B36" s="129" t="s">
        <v>130</v>
      </c>
      <c r="C36" s="129" t="s">
        <v>180</v>
      </c>
      <c r="D36" s="129" t="s">
        <v>184</v>
      </c>
      <c r="E36" s="129" t="s">
        <v>195</v>
      </c>
      <c r="F36" s="129" t="s">
        <v>192</v>
      </c>
      <c r="G36" s="273" t="s">
        <v>196</v>
      </c>
      <c r="H36" s="167">
        <v>551570000</v>
      </c>
      <c r="I36" s="131">
        <v>0</v>
      </c>
      <c r="J36" s="250">
        <f>SUM(H36:I36)</f>
        <v>551570000</v>
      </c>
      <c r="K36" s="131">
        <v>551570000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2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258">
        <f>SUM(K36:V36)</f>
        <v>551570000</v>
      </c>
      <c r="X36" s="131">
        <f aca="true" t="shared" si="18" ref="X36:AI36">K36</f>
        <v>551570000</v>
      </c>
      <c r="Y36" s="131">
        <f t="shared" si="18"/>
        <v>0</v>
      </c>
      <c r="Z36" s="131">
        <f t="shared" si="18"/>
        <v>0</v>
      </c>
      <c r="AA36" s="131">
        <f t="shared" si="18"/>
        <v>0</v>
      </c>
      <c r="AB36" s="131">
        <f t="shared" si="18"/>
        <v>0</v>
      </c>
      <c r="AC36" s="131">
        <f t="shared" si="18"/>
        <v>0</v>
      </c>
      <c r="AD36" s="132">
        <f t="shared" si="18"/>
        <v>0</v>
      </c>
      <c r="AE36" s="131">
        <f t="shared" si="18"/>
        <v>0</v>
      </c>
      <c r="AF36" s="131">
        <f t="shared" si="18"/>
        <v>0</v>
      </c>
      <c r="AG36" s="131">
        <f t="shared" si="18"/>
        <v>0</v>
      </c>
      <c r="AH36" s="131">
        <f t="shared" si="18"/>
        <v>0</v>
      </c>
      <c r="AI36" s="131">
        <f t="shared" si="18"/>
        <v>0</v>
      </c>
      <c r="AJ36" s="258">
        <f>SUM(X36:AI36)</f>
        <v>551570000</v>
      </c>
      <c r="AK36" s="167">
        <v>0</v>
      </c>
      <c r="AL36" s="131">
        <v>1890000</v>
      </c>
      <c r="AM36" s="131">
        <v>0</v>
      </c>
      <c r="AN36" s="131">
        <v>190351000</v>
      </c>
      <c r="AO36" s="131">
        <v>44415000</v>
      </c>
      <c r="AP36" s="131">
        <v>103635000</v>
      </c>
      <c r="AQ36" s="132">
        <v>40450000</v>
      </c>
      <c r="AR36" s="131">
        <v>90790400</v>
      </c>
      <c r="AS36" s="131">
        <v>37079600</v>
      </c>
      <c r="AT36" s="131">
        <v>0</v>
      </c>
      <c r="AU36" s="131">
        <v>39969000</v>
      </c>
      <c r="AV36" s="131">
        <v>2835000</v>
      </c>
      <c r="AW36" s="250">
        <f>SUM(AK36:AV36)</f>
        <v>551415000</v>
      </c>
      <c r="AX36" s="271">
        <f>J36-W36</f>
        <v>0</v>
      </c>
      <c r="AY36" s="267">
        <f>AJ36-AW36</f>
        <v>155000</v>
      </c>
    </row>
    <row r="37" spans="1:51" ht="30.75" customHeight="1" thickBot="1">
      <c r="A37" s="134" t="s">
        <v>169</v>
      </c>
      <c r="B37" s="135" t="s">
        <v>130</v>
      </c>
      <c r="C37" s="135" t="s">
        <v>180</v>
      </c>
      <c r="D37" s="135" t="s">
        <v>184</v>
      </c>
      <c r="E37" s="135" t="s">
        <v>197</v>
      </c>
      <c r="F37" s="135" t="s">
        <v>192</v>
      </c>
      <c r="G37" s="274" t="s">
        <v>261</v>
      </c>
      <c r="H37" s="168">
        <v>236585872</v>
      </c>
      <c r="I37" s="136">
        <v>0</v>
      </c>
      <c r="J37" s="251">
        <f>SUM(H37:I37)</f>
        <v>236585872</v>
      </c>
      <c r="K37" s="136">
        <v>236585872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7">
        <v>0</v>
      </c>
      <c r="R37" s="136">
        <v>0</v>
      </c>
      <c r="S37" s="136">
        <v>0</v>
      </c>
      <c r="T37" s="136">
        <v>0</v>
      </c>
      <c r="U37" s="136">
        <v>0</v>
      </c>
      <c r="V37" s="136">
        <v>0</v>
      </c>
      <c r="W37" s="259">
        <f>SUM(K37:V37)</f>
        <v>236585872</v>
      </c>
      <c r="X37" s="136">
        <f t="shared" si="16"/>
        <v>236585872</v>
      </c>
      <c r="Y37" s="136">
        <f t="shared" si="16"/>
        <v>0</v>
      </c>
      <c r="Z37" s="136">
        <f t="shared" si="16"/>
        <v>0</v>
      </c>
      <c r="AA37" s="136">
        <f t="shared" si="16"/>
        <v>0</v>
      </c>
      <c r="AB37" s="136">
        <f t="shared" si="16"/>
        <v>0</v>
      </c>
      <c r="AC37" s="136">
        <f t="shared" si="16"/>
        <v>0</v>
      </c>
      <c r="AD37" s="137">
        <f t="shared" si="16"/>
        <v>0</v>
      </c>
      <c r="AE37" s="136">
        <f t="shared" si="16"/>
        <v>0</v>
      </c>
      <c r="AF37" s="136">
        <f t="shared" si="16"/>
        <v>0</v>
      </c>
      <c r="AG37" s="136">
        <f t="shared" si="16"/>
        <v>0</v>
      </c>
      <c r="AH37" s="136">
        <f t="shared" si="16"/>
        <v>0</v>
      </c>
      <c r="AI37" s="136">
        <f t="shared" si="16"/>
        <v>0</v>
      </c>
      <c r="AJ37" s="259">
        <f>SUM(X37:AI37)</f>
        <v>236585872</v>
      </c>
      <c r="AK37" s="168">
        <v>0</v>
      </c>
      <c r="AL37" s="136">
        <v>109304900</v>
      </c>
      <c r="AM37" s="136">
        <v>0</v>
      </c>
      <c r="AN37" s="136">
        <v>0</v>
      </c>
      <c r="AO37" s="136">
        <v>0</v>
      </c>
      <c r="AP37" s="136">
        <v>0</v>
      </c>
      <c r="AQ37" s="137">
        <v>6710000</v>
      </c>
      <c r="AR37" s="136">
        <v>15314400</v>
      </c>
      <c r="AS37" s="136">
        <v>16481700</v>
      </c>
      <c r="AT37" s="136">
        <v>0</v>
      </c>
      <c r="AU37" s="136">
        <v>39644016</v>
      </c>
      <c r="AV37" s="136">
        <v>33122000</v>
      </c>
      <c r="AW37" s="251">
        <f>SUM(AK37:AV37)</f>
        <v>220577016</v>
      </c>
      <c r="AX37" s="272">
        <f>J37-W37</f>
        <v>0</v>
      </c>
      <c r="AY37" s="269">
        <f>AJ37-AW37</f>
        <v>16008856</v>
      </c>
    </row>
    <row r="39" spans="1:51" ht="12.75">
      <c r="A39" s="99" t="s">
        <v>199</v>
      </c>
      <c r="B39" s="99"/>
      <c r="C39" s="99"/>
      <c r="D39" s="99"/>
      <c r="E39" s="99"/>
      <c r="F39" s="99"/>
      <c r="G39" s="104"/>
      <c r="H39" s="98"/>
      <c r="I39" s="98"/>
      <c r="J39" s="98"/>
      <c r="K39" s="98"/>
      <c r="L39" s="98"/>
      <c r="M39" s="98"/>
      <c r="N39" s="98"/>
      <c r="O39" s="98"/>
      <c r="P39" s="98"/>
      <c r="Q39" s="105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105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105"/>
      <c r="AR39" s="98"/>
      <c r="AS39" s="98"/>
      <c r="AT39" s="98"/>
      <c r="AU39" s="98"/>
      <c r="AV39" s="98"/>
      <c r="AW39" s="98"/>
      <c r="AX39" s="98"/>
      <c r="AY39" s="98"/>
    </row>
    <row r="40" ht="13.5" thickBot="1"/>
    <row r="41" spans="1:51" ht="12.75">
      <c r="A41" s="37"/>
      <c r="B41" s="37"/>
      <c r="C41" s="37"/>
      <c r="D41" s="37"/>
      <c r="E41" s="37"/>
      <c r="F41" s="37"/>
      <c r="G41" s="195" t="s">
        <v>200</v>
      </c>
      <c r="H41" s="215">
        <f aca="true" t="shared" si="19" ref="H41:AB41">H10+H25</f>
        <v>2369878877</v>
      </c>
      <c r="I41" s="196">
        <f t="shared" si="19"/>
        <v>0</v>
      </c>
      <c r="J41" s="198">
        <f t="shared" si="19"/>
        <v>2369878877</v>
      </c>
      <c r="K41" s="215">
        <f t="shared" si="19"/>
        <v>2369878877</v>
      </c>
      <c r="L41" s="196">
        <f t="shared" si="19"/>
        <v>0</v>
      </c>
      <c r="M41" s="196">
        <f t="shared" si="19"/>
        <v>0</v>
      </c>
      <c r="N41" s="196">
        <f t="shared" si="19"/>
        <v>0</v>
      </c>
      <c r="O41" s="196">
        <f t="shared" si="19"/>
        <v>0</v>
      </c>
      <c r="P41" s="196">
        <f t="shared" si="19"/>
        <v>0</v>
      </c>
      <c r="Q41" s="197">
        <f t="shared" si="19"/>
        <v>0</v>
      </c>
      <c r="R41" s="196">
        <f t="shared" si="19"/>
        <v>0</v>
      </c>
      <c r="S41" s="196">
        <f t="shared" si="19"/>
        <v>0</v>
      </c>
      <c r="T41" s="196">
        <f t="shared" si="19"/>
        <v>0</v>
      </c>
      <c r="U41" s="196">
        <f t="shared" si="19"/>
        <v>0</v>
      </c>
      <c r="V41" s="196">
        <f t="shared" si="19"/>
        <v>0</v>
      </c>
      <c r="W41" s="198">
        <f t="shared" si="19"/>
        <v>2369878877</v>
      </c>
      <c r="X41" s="215">
        <f t="shared" si="19"/>
        <v>2369878877</v>
      </c>
      <c r="Y41" s="196">
        <f t="shared" si="19"/>
        <v>0</v>
      </c>
      <c r="Z41" s="196">
        <f t="shared" si="19"/>
        <v>0</v>
      </c>
      <c r="AA41" s="196">
        <f t="shared" si="19"/>
        <v>0</v>
      </c>
      <c r="AB41" s="196">
        <f t="shared" si="19"/>
        <v>0</v>
      </c>
      <c r="AC41" s="196">
        <f aca="true" t="shared" si="20" ref="AC41:AY41">AC10+AC25</f>
        <v>0</v>
      </c>
      <c r="AD41" s="197">
        <f t="shared" si="20"/>
        <v>0</v>
      </c>
      <c r="AE41" s="196">
        <f t="shared" si="20"/>
        <v>0</v>
      </c>
      <c r="AF41" s="196">
        <f t="shared" si="20"/>
        <v>0</v>
      </c>
      <c r="AG41" s="196">
        <f t="shared" si="20"/>
        <v>0</v>
      </c>
      <c r="AH41" s="196">
        <f t="shared" si="20"/>
        <v>0</v>
      </c>
      <c r="AI41" s="196">
        <f t="shared" si="20"/>
        <v>0</v>
      </c>
      <c r="AJ41" s="198">
        <f t="shared" si="20"/>
        <v>2369878877</v>
      </c>
      <c r="AK41" s="196">
        <f t="shared" si="20"/>
        <v>225512349</v>
      </c>
      <c r="AL41" s="196">
        <f t="shared" si="20"/>
        <v>783386004</v>
      </c>
      <c r="AM41" s="196">
        <f t="shared" si="20"/>
        <v>263337701</v>
      </c>
      <c r="AN41" s="196">
        <f t="shared" si="20"/>
        <v>42444026</v>
      </c>
      <c r="AO41" s="196">
        <f t="shared" si="20"/>
        <v>376385661</v>
      </c>
      <c r="AP41" s="196">
        <f t="shared" si="20"/>
        <v>17377674</v>
      </c>
      <c r="AQ41" s="197">
        <f t="shared" si="20"/>
        <v>380407435</v>
      </c>
      <c r="AR41" s="196">
        <f t="shared" si="20"/>
        <v>5775144</v>
      </c>
      <c r="AS41" s="196">
        <f t="shared" si="20"/>
        <v>4413200</v>
      </c>
      <c r="AT41" s="196">
        <f t="shared" si="20"/>
        <v>5079543</v>
      </c>
      <c r="AU41" s="196">
        <f t="shared" si="20"/>
        <v>4785492</v>
      </c>
      <c r="AV41" s="196">
        <f t="shared" si="20"/>
        <v>3236118</v>
      </c>
      <c r="AW41" s="196">
        <f t="shared" si="20"/>
        <v>2112140347</v>
      </c>
      <c r="AX41" s="215">
        <f t="shared" si="20"/>
        <v>0</v>
      </c>
      <c r="AY41" s="198">
        <f t="shared" si="20"/>
        <v>257738530</v>
      </c>
    </row>
    <row r="42" spans="1:51" ht="13.5" thickBot="1">
      <c r="A42" s="37"/>
      <c r="B42" s="37"/>
      <c r="C42" s="37"/>
      <c r="D42" s="37"/>
      <c r="E42" s="37"/>
      <c r="F42" s="37"/>
      <c r="G42" s="199" t="s">
        <v>201</v>
      </c>
      <c r="H42" s="216">
        <f aca="true" t="shared" si="21" ref="H42:AB42">H31</f>
        <v>7093577130</v>
      </c>
      <c r="I42" s="200">
        <f t="shared" si="21"/>
        <v>0</v>
      </c>
      <c r="J42" s="202">
        <f t="shared" si="21"/>
        <v>7093577130</v>
      </c>
      <c r="K42" s="216">
        <f t="shared" si="21"/>
        <v>7093577130</v>
      </c>
      <c r="L42" s="200">
        <f t="shared" si="21"/>
        <v>0</v>
      </c>
      <c r="M42" s="200">
        <f t="shared" si="21"/>
        <v>0</v>
      </c>
      <c r="N42" s="200">
        <f t="shared" si="21"/>
        <v>0</v>
      </c>
      <c r="O42" s="200">
        <f t="shared" si="21"/>
        <v>0</v>
      </c>
      <c r="P42" s="200">
        <f t="shared" si="21"/>
        <v>0</v>
      </c>
      <c r="Q42" s="201">
        <f t="shared" si="21"/>
        <v>0</v>
      </c>
      <c r="R42" s="200">
        <f t="shared" si="21"/>
        <v>0</v>
      </c>
      <c r="S42" s="200">
        <f t="shared" si="21"/>
        <v>0</v>
      </c>
      <c r="T42" s="200">
        <f t="shared" si="21"/>
        <v>0</v>
      </c>
      <c r="U42" s="200">
        <f t="shared" si="21"/>
        <v>0</v>
      </c>
      <c r="V42" s="200">
        <f t="shared" si="21"/>
        <v>0</v>
      </c>
      <c r="W42" s="202">
        <f t="shared" si="21"/>
        <v>7093577130</v>
      </c>
      <c r="X42" s="216">
        <f t="shared" si="21"/>
        <v>7093577130</v>
      </c>
      <c r="Y42" s="200">
        <f t="shared" si="21"/>
        <v>0</v>
      </c>
      <c r="Z42" s="200">
        <f t="shared" si="21"/>
        <v>0</v>
      </c>
      <c r="AA42" s="200">
        <f t="shared" si="21"/>
        <v>0</v>
      </c>
      <c r="AB42" s="200">
        <f t="shared" si="21"/>
        <v>0</v>
      </c>
      <c r="AC42" s="200">
        <f aca="true" t="shared" si="22" ref="AC42:AY42">AC31</f>
        <v>0</v>
      </c>
      <c r="AD42" s="201">
        <f t="shared" si="22"/>
        <v>0</v>
      </c>
      <c r="AE42" s="200">
        <f t="shared" si="22"/>
        <v>0</v>
      </c>
      <c r="AF42" s="200">
        <f t="shared" si="22"/>
        <v>0</v>
      </c>
      <c r="AG42" s="200">
        <f t="shared" si="22"/>
        <v>0</v>
      </c>
      <c r="AH42" s="200">
        <f t="shared" si="22"/>
        <v>0</v>
      </c>
      <c r="AI42" s="200">
        <f t="shared" si="22"/>
        <v>0</v>
      </c>
      <c r="AJ42" s="202">
        <f t="shared" si="22"/>
        <v>7093577130</v>
      </c>
      <c r="AK42" s="200">
        <f t="shared" si="22"/>
        <v>0</v>
      </c>
      <c r="AL42" s="200">
        <f t="shared" si="22"/>
        <v>3760062991</v>
      </c>
      <c r="AM42" s="200">
        <f t="shared" si="22"/>
        <v>899952641</v>
      </c>
      <c r="AN42" s="200">
        <f t="shared" si="22"/>
        <v>701387881</v>
      </c>
      <c r="AO42" s="200">
        <f t="shared" si="22"/>
        <v>549803039</v>
      </c>
      <c r="AP42" s="200">
        <f t="shared" si="22"/>
        <v>253054271</v>
      </c>
      <c r="AQ42" s="201">
        <f t="shared" si="22"/>
        <v>230688296</v>
      </c>
      <c r="AR42" s="200">
        <f t="shared" si="22"/>
        <v>235604916</v>
      </c>
      <c r="AS42" s="200">
        <f t="shared" si="22"/>
        <v>269135563</v>
      </c>
      <c r="AT42" s="200">
        <f t="shared" si="22"/>
        <v>5312000</v>
      </c>
      <c r="AU42" s="200">
        <f t="shared" si="22"/>
        <v>124406848</v>
      </c>
      <c r="AV42" s="200">
        <f t="shared" si="22"/>
        <v>47149638</v>
      </c>
      <c r="AW42" s="200">
        <f t="shared" si="22"/>
        <v>7076558084</v>
      </c>
      <c r="AX42" s="216">
        <f t="shared" si="22"/>
        <v>0</v>
      </c>
      <c r="AY42" s="202">
        <f t="shared" si="22"/>
        <v>17019046</v>
      </c>
    </row>
    <row r="43" ht="13.5" thickBot="1"/>
    <row r="44" spans="1:51" ht="12.75">
      <c r="A44" s="37"/>
      <c r="B44" s="37"/>
      <c r="C44" s="37"/>
      <c r="D44" s="37"/>
      <c r="E44" s="37"/>
      <c r="F44" s="37"/>
      <c r="G44" s="203" t="s">
        <v>129</v>
      </c>
      <c r="H44" s="217">
        <f aca="true" t="shared" si="23" ref="H44:AB44">H10</f>
        <v>1009572525</v>
      </c>
      <c r="I44" s="204">
        <f t="shared" si="23"/>
        <v>0</v>
      </c>
      <c r="J44" s="206">
        <f t="shared" si="23"/>
        <v>1009572525</v>
      </c>
      <c r="K44" s="217">
        <f t="shared" si="23"/>
        <v>1009572525</v>
      </c>
      <c r="L44" s="204">
        <f t="shared" si="23"/>
        <v>0</v>
      </c>
      <c r="M44" s="204">
        <f t="shared" si="23"/>
        <v>0</v>
      </c>
      <c r="N44" s="204">
        <f t="shared" si="23"/>
        <v>0</v>
      </c>
      <c r="O44" s="204">
        <f t="shared" si="23"/>
        <v>0</v>
      </c>
      <c r="P44" s="204">
        <f t="shared" si="23"/>
        <v>0</v>
      </c>
      <c r="Q44" s="205">
        <f t="shared" si="23"/>
        <v>0</v>
      </c>
      <c r="R44" s="204">
        <f t="shared" si="23"/>
        <v>0</v>
      </c>
      <c r="S44" s="204">
        <f t="shared" si="23"/>
        <v>0</v>
      </c>
      <c r="T44" s="204">
        <f t="shared" si="23"/>
        <v>0</v>
      </c>
      <c r="U44" s="204">
        <f t="shared" si="23"/>
        <v>0</v>
      </c>
      <c r="V44" s="204">
        <f t="shared" si="23"/>
        <v>0</v>
      </c>
      <c r="W44" s="206">
        <f t="shared" si="23"/>
        <v>1009572525</v>
      </c>
      <c r="X44" s="217">
        <f t="shared" si="23"/>
        <v>1009572525</v>
      </c>
      <c r="Y44" s="204">
        <f t="shared" si="23"/>
        <v>0</v>
      </c>
      <c r="Z44" s="204">
        <f t="shared" si="23"/>
        <v>0</v>
      </c>
      <c r="AA44" s="204">
        <f t="shared" si="23"/>
        <v>0</v>
      </c>
      <c r="AB44" s="204">
        <f t="shared" si="23"/>
        <v>0</v>
      </c>
      <c r="AC44" s="204">
        <f aca="true" t="shared" si="24" ref="AC44:AY44">AC10</f>
        <v>0</v>
      </c>
      <c r="AD44" s="205">
        <f t="shared" si="24"/>
        <v>0</v>
      </c>
      <c r="AE44" s="204">
        <f t="shared" si="24"/>
        <v>0</v>
      </c>
      <c r="AF44" s="204">
        <f t="shared" si="24"/>
        <v>0</v>
      </c>
      <c r="AG44" s="204">
        <f t="shared" si="24"/>
        <v>0</v>
      </c>
      <c r="AH44" s="204">
        <f t="shared" si="24"/>
        <v>0</v>
      </c>
      <c r="AI44" s="204">
        <f t="shared" si="24"/>
        <v>0</v>
      </c>
      <c r="AJ44" s="206">
        <f t="shared" si="24"/>
        <v>1009572525</v>
      </c>
      <c r="AK44" s="217">
        <f t="shared" si="24"/>
        <v>204936131</v>
      </c>
      <c r="AL44" s="204">
        <f t="shared" si="24"/>
        <v>205106309</v>
      </c>
      <c r="AM44" s="204">
        <f t="shared" si="24"/>
        <v>238768817</v>
      </c>
      <c r="AN44" s="204">
        <f t="shared" si="24"/>
        <v>28175531</v>
      </c>
      <c r="AO44" s="204">
        <f t="shared" si="24"/>
        <v>207883179</v>
      </c>
      <c r="AP44" s="204">
        <f t="shared" si="24"/>
        <v>17377674</v>
      </c>
      <c r="AQ44" s="205">
        <f t="shared" si="24"/>
        <v>14099649</v>
      </c>
      <c r="AR44" s="204">
        <f t="shared" si="24"/>
        <v>4434815</v>
      </c>
      <c r="AS44" s="204">
        <f t="shared" si="24"/>
        <v>4413200</v>
      </c>
      <c r="AT44" s="204">
        <f t="shared" si="24"/>
        <v>5079543</v>
      </c>
      <c r="AU44" s="204">
        <f t="shared" si="24"/>
        <v>4785492</v>
      </c>
      <c r="AV44" s="204">
        <f t="shared" si="24"/>
        <v>559462</v>
      </c>
      <c r="AW44" s="206">
        <f t="shared" si="24"/>
        <v>935619802</v>
      </c>
      <c r="AX44" s="217">
        <f t="shared" si="24"/>
        <v>0</v>
      </c>
      <c r="AY44" s="206">
        <f t="shared" si="24"/>
        <v>73952723</v>
      </c>
    </row>
    <row r="45" spans="1:51" ht="13.5" thickBot="1">
      <c r="A45" s="37"/>
      <c r="B45" s="37"/>
      <c r="C45" s="37"/>
      <c r="D45" s="37"/>
      <c r="E45" s="37"/>
      <c r="F45" s="37"/>
      <c r="G45" s="207" t="s">
        <v>170</v>
      </c>
      <c r="H45" s="218">
        <f aca="true" t="shared" si="25" ref="H45:AB45">H21</f>
        <v>8453883482</v>
      </c>
      <c r="I45" s="208">
        <f t="shared" si="25"/>
        <v>0</v>
      </c>
      <c r="J45" s="210">
        <f t="shared" si="25"/>
        <v>8453883482</v>
      </c>
      <c r="K45" s="218">
        <f t="shared" si="25"/>
        <v>8453883482</v>
      </c>
      <c r="L45" s="208">
        <f t="shared" si="25"/>
        <v>0</v>
      </c>
      <c r="M45" s="208">
        <f t="shared" si="25"/>
        <v>0</v>
      </c>
      <c r="N45" s="208">
        <f t="shared" si="25"/>
        <v>0</v>
      </c>
      <c r="O45" s="208">
        <f t="shared" si="25"/>
        <v>0</v>
      </c>
      <c r="P45" s="208">
        <f t="shared" si="25"/>
        <v>0</v>
      </c>
      <c r="Q45" s="209">
        <f t="shared" si="25"/>
        <v>0</v>
      </c>
      <c r="R45" s="208">
        <f t="shared" si="25"/>
        <v>0</v>
      </c>
      <c r="S45" s="208">
        <f t="shared" si="25"/>
        <v>0</v>
      </c>
      <c r="T45" s="208">
        <f t="shared" si="25"/>
        <v>0</v>
      </c>
      <c r="U45" s="208">
        <f t="shared" si="25"/>
        <v>0</v>
      </c>
      <c r="V45" s="208">
        <f t="shared" si="25"/>
        <v>0</v>
      </c>
      <c r="W45" s="210">
        <f t="shared" si="25"/>
        <v>8453883482</v>
      </c>
      <c r="X45" s="218">
        <f t="shared" si="25"/>
        <v>8453883482</v>
      </c>
      <c r="Y45" s="208">
        <f t="shared" si="25"/>
        <v>0</v>
      </c>
      <c r="Z45" s="208">
        <f t="shared" si="25"/>
        <v>0</v>
      </c>
      <c r="AA45" s="208">
        <f t="shared" si="25"/>
        <v>0</v>
      </c>
      <c r="AB45" s="208">
        <f t="shared" si="25"/>
        <v>0</v>
      </c>
      <c r="AC45" s="208">
        <f aca="true" t="shared" si="26" ref="AC45:AY45">AC21</f>
        <v>0</v>
      </c>
      <c r="AD45" s="209">
        <f t="shared" si="26"/>
        <v>0</v>
      </c>
      <c r="AE45" s="208">
        <f t="shared" si="26"/>
        <v>0</v>
      </c>
      <c r="AF45" s="208">
        <f t="shared" si="26"/>
        <v>0</v>
      </c>
      <c r="AG45" s="208">
        <f t="shared" si="26"/>
        <v>0</v>
      </c>
      <c r="AH45" s="208">
        <f t="shared" si="26"/>
        <v>0</v>
      </c>
      <c r="AI45" s="208">
        <f t="shared" si="26"/>
        <v>0</v>
      </c>
      <c r="AJ45" s="210">
        <f t="shared" si="26"/>
        <v>8453883482</v>
      </c>
      <c r="AK45" s="218">
        <f t="shared" si="26"/>
        <v>20576218</v>
      </c>
      <c r="AL45" s="208">
        <f t="shared" si="26"/>
        <v>4338342686</v>
      </c>
      <c r="AM45" s="208">
        <f t="shared" si="26"/>
        <v>924521525</v>
      </c>
      <c r="AN45" s="208">
        <f t="shared" si="26"/>
        <v>715656376</v>
      </c>
      <c r="AO45" s="208">
        <f t="shared" si="26"/>
        <v>718305521</v>
      </c>
      <c r="AP45" s="208">
        <f t="shared" si="26"/>
        <v>253054271</v>
      </c>
      <c r="AQ45" s="209">
        <f t="shared" si="26"/>
        <v>596996082</v>
      </c>
      <c r="AR45" s="208">
        <f t="shared" si="26"/>
        <v>236945245</v>
      </c>
      <c r="AS45" s="208">
        <f t="shared" si="26"/>
        <v>269135563</v>
      </c>
      <c r="AT45" s="208">
        <f t="shared" si="26"/>
        <v>5312000</v>
      </c>
      <c r="AU45" s="208">
        <f t="shared" si="26"/>
        <v>124406848</v>
      </c>
      <c r="AV45" s="208">
        <f t="shared" si="26"/>
        <v>49826294</v>
      </c>
      <c r="AW45" s="210">
        <f t="shared" si="26"/>
        <v>8253078629</v>
      </c>
      <c r="AX45" s="218">
        <f t="shared" si="26"/>
        <v>0</v>
      </c>
      <c r="AY45" s="210">
        <f t="shared" si="26"/>
        <v>200804853</v>
      </c>
    </row>
    <row r="46" ht="13.5" thickBot="1"/>
    <row r="47" spans="1:51" ht="13.5" thickBot="1">
      <c r="A47" s="37"/>
      <c r="B47" s="37"/>
      <c r="C47" s="37"/>
      <c r="D47" s="37"/>
      <c r="E47" s="37"/>
      <c r="F47" s="37"/>
      <c r="G47" s="211" t="s">
        <v>202</v>
      </c>
      <c r="H47" s="219">
        <f aca="true" t="shared" si="27" ref="H47:AB47">SUM(H41:H45)/2</f>
        <v>9463456007</v>
      </c>
      <c r="I47" s="212">
        <f t="shared" si="27"/>
        <v>0</v>
      </c>
      <c r="J47" s="214">
        <f t="shared" si="27"/>
        <v>9463456007</v>
      </c>
      <c r="K47" s="219">
        <f t="shared" si="27"/>
        <v>9463456007</v>
      </c>
      <c r="L47" s="212">
        <f t="shared" si="27"/>
        <v>0</v>
      </c>
      <c r="M47" s="212">
        <f t="shared" si="27"/>
        <v>0</v>
      </c>
      <c r="N47" s="212">
        <f t="shared" si="27"/>
        <v>0</v>
      </c>
      <c r="O47" s="212">
        <f t="shared" si="27"/>
        <v>0</v>
      </c>
      <c r="P47" s="212">
        <f t="shared" si="27"/>
        <v>0</v>
      </c>
      <c r="Q47" s="213">
        <f t="shared" si="27"/>
        <v>0</v>
      </c>
      <c r="R47" s="212">
        <f t="shared" si="27"/>
        <v>0</v>
      </c>
      <c r="S47" s="212">
        <f t="shared" si="27"/>
        <v>0</v>
      </c>
      <c r="T47" s="212">
        <f t="shared" si="27"/>
        <v>0</v>
      </c>
      <c r="U47" s="212">
        <f t="shared" si="27"/>
        <v>0</v>
      </c>
      <c r="V47" s="212">
        <f t="shared" si="27"/>
        <v>0</v>
      </c>
      <c r="W47" s="214">
        <f t="shared" si="27"/>
        <v>9463456007</v>
      </c>
      <c r="X47" s="219">
        <f t="shared" si="27"/>
        <v>9463456007</v>
      </c>
      <c r="Y47" s="212">
        <f t="shared" si="27"/>
        <v>0</v>
      </c>
      <c r="Z47" s="212">
        <f t="shared" si="27"/>
        <v>0</v>
      </c>
      <c r="AA47" s="212">
        <f t="shared" si="27"/>
        <v>0</v>
      </c>
      <c r="AB47" s="212">
        <f t="shared" si="27"/>
        <v>0</v>
      </c>
      <c r="AC47" s="212">
        <f aca="true" t="shared" si="28" ref="AC47:AY47">SUM(AC41:AC45)/2</f>
        <v>0</v>
      </c>
      <c r="AD47" s="213">
        <f t="shared" si="28"/>
        <v>0</v>
      </c>
      <c r="AE47" s="212">
        <f t="shared" si="28"/>
        <v>0</v>
      </c>
      <c r="AF47" s="212">
        <f t="shared" si="28"/>
        <v>0</v>
      </c>
      <c r="AG47" s="212">
        <f t="shared" si="28"/>
        <v>0</v>
      </c>
      <c r="AH47" s="212">
        <f t="shared" si="28"/>
        <v>0</v>
      </c>
      <c r="AI47" s="212">
        <f t="shared" si="28"/>
        <v>0</v>
      </c>
      <c r="AJ47" s="214">
        <f t="shared" si="28"/>
        <v>9463456007</v>
      </c>
      <c r="AK47" s="219">
        <f t="shared" si="28"/>
        <v>225512349</v>
      </c>
      <c r="AL47" s="212">
        <f t="shared" si="28"/>
        <v>4543448995</v>
      </c>
      <c r="AM47" s="212">
        <f t="shared" si="28"/>
        <v>1163290342</v>
      </c>
      <c r="AN47" s="212">
        <f t="shared" si="28"/>
        <v>743831907</v>
      </c>
      <c r="AO47" s="212">
        <f t="shared" si="28"/>
        <v>926188700</v>
      </c>
      <c r="AP47" s="212">
        <f t="shared" si="28"/>
        <v>270431945</v>
      </c>
      <c r="AQ47" s="213">
        <f t="shared" si="28"/>
        <v>611095731</v>
      </c>
      <c r="AR47" s="212">
        <f t="shared" si="28"/>
        <v>241380060</v>
      </c>
      <c r="AS47" s="212">
        <f t="shared" si="28"/>
        <v>273548763</v>
      </c>
      <c r="AT47" s="212">
        <f t="shared" si="28"/>
        <v>10391543</v>
      </c>
      <c r="AU47" s="212">
        <f t="shared" si="28"/>
        <v>129192340</v>
      </c>
      <c r="AV47" s="212">
        <f t="shared" si="28"/>
        <v>50385756</v>
      </c>
      <c r="AW47" s="214">
        <f t="shared" si="28"/>
        <v>9188698431</v>
      </c>
      <c r="AX47" s="219">
        <f t="shared" si="28"/>
        <v>0</v>
      </c>
      <c r="AY47" s="214">
        <f t="shared" si="28"/>
        <v>274757576</v>
      </c>
    </row>
  </sheetData>
  <sheetProtection/>
  <mergeCells count="2">
    <mergeCell ref="AX1:AY1"/>
    <mergeCell ref="AX2:AY2"/>
  </mergeCells>
  <printOptions horizontalCentered="1" verticalCentered="1"/>
  <pageMargins left="0.4724409448818898" right="0.4724409448818898" top="0.78" bottom="0.8" header="0.5" footer="0.25"/>
  <pageSetup horizontalDpi="300" verticalDpi="300" orientation="landscape" paperSize="9" scale="50" r:id="rId2"/>
  <headerFooter alignWithMargins="0">
    <oddHeader>&amp;LGPR-&amp;D&amp;C&amp;18INFORME EJECUCIÓN DE GASTOS - CUENTAS POR PAGAR&amp;RPág. &amp;P/&amp;N</oddHeader>
    <oddFooter xml:space="preserve">&amp;L&amp;16DURAN ROA CARVAJAL
Jefe de Presupuesto&amp;C&amp;16MARTA LUCIA VILLEGAS BOTERO
Directora General&amp;R&amp;16LUZ MARINA CARREÑO MORENO 
Subdirectora Financiera (E) </oddFooter>
  </headerFooter>
  <rowBreaks count="1" manualBreakCount="1">
    <brk id="49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Z27"/>
  <sheetViews>
    <sheetView showGridLines="0" zoomScale="80" zoomScaleNormal="80" zoomScalePageLayoutView="0" workbookViewId="0" topLeftCell="I1">
      <selection activeCell="K25" sqref="K25"/>
    </sheetView>
  </sheetViews>
  <sheetFormatPr defaultColWidth="17.7109375" defaultRowHeight="12.75"/>
  <cols>
    <col min="1" max="1" width="3.00390625" style="100" customWidth="1"/>
    <col min="2" max="2" width="4.7109375" style="100" customWidth="1"/>
    <col min="3" max="5" width="6.7109375" style="100" customWidth="1"/>
    <col min="6" max="6" width="4.7109375" style="100" customWidth="1"/>
    <col min="7" max="7" width="55.7109375" style="102" customWidth="1"/>
    <col min="8" max="8" width="17.7109375" style="97" customWidth="1"/>
    <col min="9" max="9" width="20.140625" style="97" customWidth="1"/>
    <col min="10" max="10" width="17.7109375" style="97" customWidth="1"/>
    <col min="11" max="16" width="17.7109375" style="97" hidden="1" customWidth="1"/>
    <col min="17" max="17" width="17.7109375" style="103" hidden="1" customWidth="1"/>
    <col min="18" max="21" width="17.7109375" style="97" hidden="1" customWidth="1"/>
    <col min="22" max="22" width="16.28125" style="97" hidden="1" customWidth="1"/>
    <col min="23" max="23" width="16.8515625" style="101" customWidth="1"/>
    <col min="24" max="29" width="17.7109375" style="97" hidden="1" customWidth="1"/>
    <col min="30" max="30" width="17.7109375" style="103" hidden="1" customWidth="1"/>
    <col min="31" max="34" width="17.7109375" style="97" hidden="1" customWidth="1"/>
    <col min="35" max="35" width="16.57421875" style="97" hidden="1" customWidth="1"/>
    <col min="36" max="36" width="16.28125" style="101" customWidth="1"/>
    <col min="37" max="42" width="17.7109375" style="97" hidden="1" customWidth="1"/>
    <col min="43" max="43" width="17.7109375" style="103" hidden="1" customWidth="1"/>
    <col min="44" max="44" width="18.421875" style="97" hidden="1" customWidth="1"/>
    <col min="45" max="47" width="17.7109375" style="97" hidden="1" customWidth="1"/>
    <col min="48" max="48" width="16.28125" style="97" hidden="1" customWidth="1"/>
    <col min="49" max="49" width="16.421875" style="101" customWidth="1"/>
    <col min="50" max="50" width="15.8515625" style="97" customWidth="1"/>
    <col min="51" max="51" width="16.57421875" style="97" customWidth="1"/>
    <col min="52" max="16384" width="17.7109375" style="97" customWidth="1"/>
  </cols>
  <sheetData>
    <row r="1" spans="1:52" ht="24" customHeight="1">
      <c r="A1" s="91"/>
      <c r="B1" s="106"/>
      <c r="C1" s="28"/>
      <c r="D1" s="106"/>
      <c r="E1" s="106"/>
      <c r="F1" s="106"/>
      <c r="G1" s="92"/>
      <c r="H1" s="223" t="s">
        <v>0</v>
      </c>
      <c r="I1" s="224" t="s">
        <v>1</v>
      </c>
      <c r="J1" s="227" t="s">
        <v>2</v>
      </c>
      <c r="K1" s="117" t="s">
        <v>3</v>
      </c>
      <c r="L1" s="118" t="s">
        <v>4</v>
      </c>
      <c r="M1" s="118" t="s">
        <v>5</v>
      </c>
      <c r="N1" s="118" t="s">
        <v>6</v>
      </c>
      <c r="O1" s="118" t="s">
        <v>7</v>
      </c>
      <c r="P1" s="118" t="s">
        <v>8</v>
      </c>
      <c r="Q1" s="119" t="s">
        <v>9</v>
      </c>
      <c r="R1" s="118" t="s">
        <v>10</v>
      </c>
      <c r="S1" s="118" t="s">
        <v>11</v>
      </c>
      <c r="T1" s="118" t="s">
        <v>12</v>
      </c>
      <c r="U1" s="118" t="s">
        <v>13</v>
      </c>
      <c r="V1" s="118" t="s">
        <v>14</v>
      </c>
      <c r="W1" s="252" t="s">
        <v>15</v>
      </c>
      <c r="X1" s="117" t="s">
        <v>3</v>
      </c>
      <c r="Y1" s="118" t="s">
        <v>4</v>
      </c>
      <c r="Z1" s="118" t="s">
        <v>5</v>
      </c>
      <c r="AA1" s="118" t="s">
        <v>6</v>
      </c>
      <c r="AB1" s="118" t="s">
        <v>7</v>
      </c>
      <c r="AC1" s="118" t="s">
        <v>8</v>
      </c>
      <c r="AD1" s="119" t="s">
        <v>9</v>
      </c>
      <c r="AE1" s="118" t="s">
        <v>10</v>
      </c>
      <c r="AF1" s="118" t="s">
        <v>11</v>
      </c>
      <c r="AG1" s="118" t="s">
        <v>12</v>
      </c>
      <c r="AH1" s="118" t="s">
        <v>13</v>
      </c>
      <c r="AI1" s="118" t="s">
        <v>14</v>
      </c>
      <c r="AJ1" s="252" t="s">
        <v>15</v>
      </c>
      <c r="AK1" s="117" t="s">
        <v>3</v>
      </c>
      <c r="AL1" s="185" t="s">
        <v>4</v>
      </c>
      <c r="AM1" s="185" t="s">
        <v>5</v>
      </c>
      <c r="AN1" s="185" t="s">
        <v>6</v>
      </c>
      <c r="AO1" s="185" t="s">
        <v>7</v>
      </c>
      <c r="AP1" s="185" t="s">
        <v>8</v>
      </c>
      <c r="AQ1" s="186" t="s">
        <v>9</v>
      </c>
      <c r="AR1" s="185" t="s">
        <v>10</v>
      </c>
      <c r="AS1" s="185" t="s">
        <v>11</v>
      </c>
      <c r="AT1" s="185" t="s">
        <v>12</v>
      </c>
      <c r="AU1" s="185" t="s">
        <v>13</v>
      </c>
      <c r="AV1" s="185" t="s">
        <v>14</v>
      </c>
      <c r="AW1" s="260" t="s">
        <v>15</v>
      </c>
      <c r="AX1" s="189" t="s">
        <v>16</v>
      </c>
      <c r="AY1" s="234"/>
      <c r="AZ1" s="190"/>
    </row>
    <row r="2" spans="1:52" ht="24" customHeight="1" thickBot="1">
      <c r="A2" s="93"/>
      <c r="B2" s="107"/>
      <c r="C2" s="5"/>
      <c r="D2" s="107"/>
      <c r="E2" s="107"/>
      <c r="F2" s="107"/>
      <c r="G2" s="94"/>
      <c r="H2" s="228" t="s">
        <v>17</v>
      </c>
      <c r="I2" s="229"/>
      <c r="J2" s="233" t="s">
        <v>18</v>
      </c>
      <c r="K2" s="120" t="s">
        <v>254</v>
      </c>
      <c r="L2" s="121" t="s">
        <v>254</v>
      </c>
      <c r="M2" s="121" t="s">
        <v>254</v>
      </c>
      <c r="N2" s="121" t="s">
        <v>254</v>
      </c>
      <c r="O2" s="121" t="s">
        <v>254</v>
      </c>
      <c r="P2" s="121" t="s">
        <v>254</v>
      </c>
      <c r="Q2" s="122" t="s">
        <v>254</v>
      </c>
      <c r="R2" s="121" t="s">
        <v>254</v>
      </c>
      <c r="S2" s="121" t="s">
        <v>254</v>
      </c>
      <c r="T2" s="121" t="s">
        <v>254</v>
      </c>
      <c r="U2" s="121" t="s">
        <v>254</v>
      </c>
      <c r="V2" s="121" t="s">
        <v>254</v>
      </c>
      <c r="W2" s="253" t="s">
        <v>259</v>
      </c>
      <c r="X2" s="120" t="s">
        <v>254</v>
      </c>
      <c r="Y2" s="121" t="s">
        <v>254</v>
      </c>
      <c r="Z2" s="121" t="s">
        <v>254</v>
      </c>
      <c r="AA2" s="121" t="s">
        <v>254</v>
      </c>
      <c r="AB2" s="121" t="s">
        <v>254</v>
      </c>
      <c r="AC2" s="121" t="s">
        <v>254</v>
      </c>
      <c r="AD2" s="122" t="s">
        <v>254</v>
      </c>
      <c r="AE2" s="121" t="s">
        <v>254</v>
      </c>
      <c r="AF2" s="121" t="s">
        <v>254</v>
      </c>
      <c r="AG2" s="121" t="s">
        <v>254</v>
      </c>
      <c r="AH2" s="121" t="s">
        <v>254</v>
      </c>
      <c r="AI2" s="121" t="s">
        <v>254</v>
      </c>
      <c r="AJ2" s="253" t="s">
        <v>259</v>
      </c>
      <c r="AK2" s="120" t="s">
        <v>254</v>
      </c>
      <c r="AL2" s="187" t="s">
        <v>254</v>
      </c>
      <c r="AM2" s="187" t="s">
        <v>254</v>
      </c>
      <c r="AN2" s="187" t="s">
        <v>254</v>
      </c>
      <c r="AO2" s="187" t="s">
        <v>254</v>
      </c>
      <c r="AP2" s="187" t="s">
        <v>259</v>
      </c>
      <c r="AQ2" s="188" t="s">
        <v>259</v>
      </c>
      <c r="AR2" s="187" t="s">
        <v>254</v>
      </c>
      <c r="AS2" s="187" t="s">
        <v>259</v>
      </c>
      <c r="AT2" s="187" t="s">
        <v>259</v>
      </c>
      <c r="AU2" s="187" t="s">
        <v>259</v>
      </c>
      <c r="AV2" s="187" t="s">
        <v>259</v>
      </c>
      <c r="AW2" s="261" t="s">
        <v>259</v>
      </c>
      <c r="AX2" s="191">
        <f ca="1">TODAY()</f>
        <v>41229</v>
      </c>
      <c r="AY2" s="235"/>
      <c r="AZ2" s="192"/>
    </row>
    <row r="3" spans="1:52" ht="13.5" thickBot="1">
      <c r="A3" s="38"/>
      <c r="B3" s="38"/>
      <c r="C3" s="38"/>
      <c r="D3" s="38"/>
      <c r="E3" s="38"/>
      <c r="F3" s="38"/>
      <c r="G3" s="39"/>
      <c r="H3" s="36"/>
      <c r="I3" s="36"/>
      <c r="J3" s="36"/>
      <c r="K3" s="36"/>
      <c r="L3" s="36"/>
      <c r="M3" s="36"/>
      <c r="N3" s="36"/>
      <c r="O3" s="36"/>
      <c r="P3" s="36"/>
      <c r="Q3" s="40"/>
      <c r="R3" s="36"/>
      <c r="S3" s="36"/>
      <c r="T3" s="36"/>
      <c r="U3" s="36"/>
      <c r="V3" s="36"/>
      <c r="W3" s="254"/>
      <c r="X3" s="36"/>
      <c r="Y3" s="36"/>
      <c r="Z3" s="36"/>
      <c r="AA3" s="36"/>
      <c r="AB3" s="36"/>
      <c r="AC3" s="36"/>
      <c r="AD3" s="40"/>
      <c r="AE3" s="36"/>
      <c r="AF3" s="36"/>
      <c r="AG3" s="36"/>
      <c r="AH3" s="36"/>
      <c r="AI3" s="36"/>
      <c r="AJ3" s="254"/>
      <c r="AK3" s="36"/>
      <c r="AL3" s="36"/>
      <c r="AM3" s="36"/>
      <c r="AN3" s="36"/>
      <c r="AO3" s="36"/>
      <c r="AP3" s="36"/>
      <c r="AQ3" s="40"/>
      <c r="AR3" s="36"/>
      <c r="AS3" s="36"/>
      <c r="AT3" s="36"/>
      <c r="AU3" s="36"/>
      <c r="AV3" s="36"/>
      <c r="AW3" s="254"/>
      <c r="AX3" s="36"/>
      <c r="AY3" s="36"/>
      <c r="AZ3" s="36"/>
    </row>
    <row r="4" spans="1:52" ht="12.75">
      <c r="A4" s="138" t="s">
        <v>92</v>
      </c>
      <c r="B4" s="139"/>
      <c r="C4" s="139"/>
      <c r="D4" s="139"/>
      <c r="E4" s="139"/>
      <c r="F4" s="139"/>
      <c r="G4" s="632"/>
      <c r="H4" s="633" t="s">
        <v>93</v>
      </c>
      <c r="I4" s="633" t="s">
        <v>94</v>
      </c>
      <c r="J4" s="143" t="s">
        <v>93</v>
      </c>
      <c r="K4" s="141" t="s">
        <v>95</v>
      </c>
      <c r="L4" s="144" t="s">
        <v>95</v>
      </c>
      <c r="M4" s="144" t="s">
        <v>95</v>
      </c>
      <c r="N4" s="144" t="s">
        <v>95</v>
      </c>
      <c r="O4" s="144" t="s">
        <v>95</v>
      </c>
      <c r="P4" s="144" t="s">
        <v>95</v>
      </c>
      <c r="Q4" s="145" t="s">
        <v>95</v>
      </c>
      <c r="R4" s="144" t="s">
        <v>95</v>
      </c>
      <c r="S4" s="144" t="s">
        <v>95</v>
      </c>
      <c r="T4" s="144" t="s">
        <v>95</v>
      </c>
      <c r="U4" s="144" t="s">
        <v>95</v>
      </c>
      <c r="V4" s="144" t="s">
        <v>95</v>
      </c>
      <c r="W4" s="255" t="s">
        <v>95</v>
      </c>
      <c r="X4" s="141" t="s">
        <v>96</v>
      </c>
      <c r="Y4" s="144" t="s">
        <v>96</v>
      </c>
      <c r="Z4" s="144" t="s">
        <v>96</v>
      </c>
      <c r="AA4" s="144" t="s">
        <v>96</v>
      </c>
      <c r="AB4" s="144" t="s">
        <v>96</v>
      </c>
      <c r="AC4" s="144" t="s">
        <v>96</v>
      </c>
      <c r="AD4" s="145" t="s">
        <v>96</v>
      </c>
      <c r="AE4" s="144" t="s">
        <v>96</v>
      </c>
      <c r="AF4" s="144" t="s">
        <v>96</v>
      </c>
      <c r="AG4" s="144" t="s">
        <v>96</v>
      </c>
      <c r="AH4" s="144" t="s">
        <v>96</v>
      </c>
      <c r="AI4" s="144" t="s">
        <v>96</v>
      </c>
      <c r="AJ4" s="144" t="s">
        <v>96</v>
      </c>
      <c r="AK4" s="141" t="s">
        <v>97</v>
      </c>
      <c r="AL4" s="164" t="s">
        <v>97</v>
      </c>
      <c r="AM4" s="164" t="s">
        <v>97</v>
      </c>
      <c r="AN4" s="164" t="s">
        <v>97</v>
      </c>
      <c r="AO4" s="164" t="s">
        <v>97</v>
      </c>
      <c r="AP4" s="164" t="s">
        <v>97</v>
      </c>
      <c r="AQ4" s="165" t="s">
        <v>97</v>
      </c>
      <c r="AR4" s="164" t="s">
        <v>97</v>
      </c>
      <c r="AS4" s="164" t="s">
        <v>97</v>
      </c>
      <c r="AT4" s="164" t="s">
        <v>97</v>
      </c>
      <c r="AU4" s="164" t="s">
        <v>97</v>
      </c>
      <c r="AV4" s="164" t="s">
        <v>97</v>
      </c>
      <c r="AW4" s="262" t="s">
        <v>97</v>
      </c>
      <c r="AX4" s="141" t="s">
        <v>23</v>
      </c>
      <c r="AY4" s="236" t="s">
        <v>98</v>
      </c>
      <c r="AZ4" s="143" t="s">
        <v>99</v>
      </c>
    </row>
    <row r="5" spans="1:52" ht="12.75">
      <c r="A5" s="146" t="s">
        <v>100</v>
      </c>
      <c r="B5" s="147" t="s">
        <v>101</v>
      </c>
      <c r="C5" s="148" t="s">
        <v>102</v>
      </c>
      <c r="D5" s="147" t="s">
        <v>103</v>
      </c>
      <c r="E5" s="147" t="s">
        <v>104</v>
      </c>
      <c r="F5" s="147" t="s">
        <v>105</v>
      </c>
      <c r="G5" s="634" t="s">
        <v>25</v>
      </c>
      <c r="H5" s="151" t="s">
        <v>27</v>
      </c>
      <c r="I5" s="635"/>
      <c r="J5" s="152" t="s">
        <v>107</v>
      </c>
      <c r="K5" s="150" t="s">
        <v>3</v>
      </c>
      <c r="L5" s="153" t="s">
        <v>4</v>
      </c>
      <c r="M5" s="153" t="s">
        <v>5</v>
      </c>
      <c r="N5" s="153" t="s">
        <v>6</v>
      </c>
      <c r="O5" s="153" t="s">
        <v>7</v>
      </c>
      <c r="P5" s="153" t="s">
        <v>8</v>
      </c>
      <c r="Q5" s="154" t="s">
        <v>9</v>
      </c>
      <c r="R5" s="153" t="s">
        <v>10</v>
      </c>
      <c r="S5" s="153" t="s">
        <v>11</v>
      </c>
      <c r="T5" s="153" t="s">
        <v>12</v>
      </c>
      <c r="U5" s="153" t="s">
        <v>13</v>
      </c>
      <c r="V5" s="153" t="s">
        <v>14</v>
      </c>
      <c r="W5" s="256" t="s">
        <v>31</v>
      </c>
      <c r="X5" s="150" t="s">
        <v>3</v>
      </c>
      <c r="Y5" s="153" t="s">
        <v>4</v>
      </c>
      <c r="Z5" s="153" t="s">
        <v>5</v>
      </c>
      <c r="AA5" s="153" t="s">
        <v>6</v>
      </c>
      <c r="AB5" s="153" t="s">
        <v>7</v>
      </c>
      <c r="AC5" s="153" t="s">
        <v>8</v>
      </c>
      <c r="AD5" s="154" t="s">
        <v>9</v>
      </c>
      <c r="AE5" s="153" t="s">
        <v>10</v>
      </c>
      <c r="AF5" s="153" t="s">
        <v>11</v>
      </c>
      <c r="AG5" s="153" t="s">
        <v>12</v>
      </c>
      <c r="AH5" s="153" t="s">
        <v>13</v>
      </c>
      <c r="AI5" s="153" t="s">
        <v>14</v>
      </c>
      <c r="AJ5" s="256" t="s">
        <v>31</v>
      </c>
      <c r="AK5" s="150" t="s">
        <v>3</v>
      </c>
      <c r="AL5" s="151" t="s">
        <v>4</v>
      </c>
      <c r="AM5" s="151" t="s">
        <v>5</v>
      </c>
      <c r="AN5" s="151" t="s">
        <v>6</v>
      </c>
      <c r="AO5" s="151" t="s">
        <v>7</v>
      </c>
      <c r="AP5" s="151" t="s">
        <v>8</v>
      </c>
      <c r="AQ5" s="163" t="s">
        <v>9</v>
      </c>
      <c r="AR5" s="151" t="s">
        <v>10</v>
      </c>
      <c r="AS5" s="151" t="s">
        <v>11</v>
      </c>
      <c r="AT5" s="151" t="s">
        <v>12</v>
      </c>
      <c r="AU5" s="151" t="s">
        <v>13</v>
      </c>
      <c r="AV5" s="151" t="s">
        <v>14</v>
      </c>
      <c r="AW5" s="263" t="s">
        <v>31</v>
      </c>
      <c r="AX5" s="150" t="s">
        <v>93</v>
      </c>
      <c r="AY5" s="237" t="s">
        <v>108</v>
      </c>
      <c r="AZ5" s="152" t="s">
        <v>109</v>
      </c>
    </row>
    <row r="6" spans="1:52" ht="13.5" thickBot="1">
      <c r="A6" s="155"/>
      <c r="B6" s="156"/>
      <c r="C6" s="156" t="s">
        <v>110</v>
      </c>
      <c r="D6" s="156" t="s">
        <v>111</v>
      </c>
      <c r="E6" s="156" t="s">
        <v>112</v>
      </c>
      <c r="F6" s="156"/>
      <c r="G6" s="636"/>
      <c r="H6" s="159" t="s">
        <v>33</v>
      </c>
      <c r="I6" s="159" t="s">
        <v>253</v>
      </c>
      <c r="J6" s="160" t="s">
        <v>118</v>
      </c>
      <c r="K6" s="158"/>
      <c r="L6" s="161"/>
      <c r="M6" s="161"/>
      <c r="N6" s="161"/>
      <c r="O6" s="161"/>
      <c r="P6" s="161"/>
      <c r="Q6" s="162"/>
      <c r="R6" s="161"/>
      <c r="S6" s="161"/>
      <c r="T6" s="161"/>
      <c r="U6" s="161"/>
      <c r="V6" s="161"/>
      <c r="W6" s="257" t="s">
        <v>122</v>
      </c>
      <c r="X6" s="158"/>
      <c r="Y6" s="161"/>
      <c r="Z6" s="161"/>
      <c r="AA6" s="161"/>
      <c r="AB6" s="161"/>
      <c r="AC6" s="161"/>
      <c r="AD6" s="162"/>
      <c r="AE6" s="161"/>
      <c r="AF6" s="161"/>
      <c r="AG6" s="161"/>
      <c r="AH6" s="161"/>
      <c r="AI6" s="161"/>
      <c r="AJ6" s="257" t="s">
        <v>37</v>
      </c>
      <c r="AK6" s="158"/>
      <c r="AL6" s="159"/>
      <c r="AM6" s="159"/>
      <c r="AN6" s="159"/>
      <c r="AO6" s="159"/>
      <c r="AP6" s="159"/>
      <c r="AQ6" s="166"/>
      <c r="AR6" s="159"/>
      <c r="AS6" s="159"/>
      <c r="AT6" s="159"/>
      <c r="AU6" s="159"/>
      <c r="AV6" s="159"/>
      <c r="AW6" s="264" t="s">
        <v>38</v>
      </c>
      <c r="AX6" s="158" t="s">
        <v>123</v>
      </c>
      <c r="AY6" s="238" t="s">
        <v>124</v>
      </c>
      <c r="AZ6" s="160" t="s">
        <v>125</v>
      </c>
    </row>
    <row r="7" spans="1:52" ht="13.5" thickBot="1">
      <c r="A7" s="38"/>
      <c r="B7" s="38"/>
      <c r="C7" s="38"/>
      <c r="D7" s="38"/>
      <c r="E7" s="38"/>
      <c r="F7" s="38"/>
      <c r="G7" s="39"/>
      <c r="H7" s="36"/>
      <c r="I7" s="36"/>
      <c r="J7" s="36"/>
      <c r="K7" s="36"/>
      <c r="L7" s="36"/>
      <c r="M7" s="36"/>
      <c r="N7" s="36"/>
      <c r="O7" s="36"/>
      <c r="P7" s="36"/>
      <c r="Q7" s="40"/>
      <c r="R7" s="36"/>
      <c r="S7" s="36"/>
      <c r="T7" s="36"/>
      <c r="U7" s="36"/>
      <c r="V7" s="36"/>
      <c r="W7" s="254"/>
      <c r="X7" s="36"/>
      <c r="Y7" s="36"/>
      <c r="Z7" s="36"/>
      <c r="AA7" s="36"/>
      <c r="AB7" s="36"/>
      <c r="AC7" s="36"/>
      <c r="AD7" s="40"/>
      <c r="AE7" s="36"/>
      <c r="AF7" s="36"/>
      <c r="AG7" s="36"/>
      <c r="AH7" s="36"/>
      <c r="AI7" s="36"/>
      <c r="AJ7" s="254"/>
      <c r="AK7" s="36"/>
      <c r="AL7" s="36"/>
      <c r="AM7" s="36"/>
      <c r="AN7" s="36"/>
      <c r="AO7" s="36"/>
      <c r="AP7" s="36"/>
      <c r="AQ7" s="40"/>
      <c r="AR7" s="36"/>
      <c r="AS7" s="36"/>
      <c r="AT7" s="36"/>
      <c r="AU7" s="36"/>
      <c r="AV7" s="36"/>
      <c r="AW7" s="254"/>
      <c r="AX7" s="36"/>
      <c r="AY7" s="36"/>
      <c r="AZ7" s="36"/>
    </row>
    <row r="8" spans="1:52" ht="13.5" thickBot="1">
      <c r="A8" s="169" t="s">
        <v>169</v>
      </c>
      <c r="B8" s="170"/>
      <c r="C8" s="170"/>
      <c r="D8" s="170"/>
      <c r="E8" s="170"/>
      <c r="F8" s="170"/>
      <c r="G8" s="171" t="s">
        <v>170</v>
      </c>
      <c r="H8" s="172">
        <f aca="true" t="shared" si="0" ref="H8:AZ8">H12</f>
        <v>1561996285</v>
      </c>
      <c r="I8" s="173">
        <f t="shared" si="0"/>
        <v>0</v>
      </c>
      <c r="J8" s="174">
        <f t="shared" si="0"/>
        <v>1561996285</v>
      </c>
      <c r="K8" s="172">
        <f t="shared" si="0"/>
        <v>1561996285</v>
      </c>
      <c r="L8" s="173">
        <f t="shared" si="0"/>
        <v>0</v>
      </c>
      <c r="M8" s="173">
        <f t="shared" si="0"/>
        <v>0</v>
      </c>
      <c r="N8" s="173">
        <f t="shared" si="0"/>
        <v>0</v>
      </c>
      <c r="O8" s="173">
        <f t="shared" si="0"/>
        <v>0</v>
      </c>
      <c r="P8" s="173">
        <f t="shared" si="0"/>
        <v>0</v>
      </c>
      <c r="Q8" s="175">
        <f t="shared" si="0"/>
        <v>0</v>
      </c>
      <c r="R8" s="173">
        <f t="shared" si="0"/>
        <v>0</v>
      </c>
      <c r="S8" s="173">
        <f t="shared" si="0"/>
        <v>0</v>
      </c>
      <c r="T8" s="173">
        <f t="shared" si="0"/>
        <v>0</v>
      </c>
      <c r="U8" s="173">
        <f t="shared" si="0"/>
        <v>0</v>
      </c>
      <c r="V8" s="173">
        <f t="shared" si="0"/>
        <v>0</v>
      </c>
      <c r="W8" s="174">
        <f t="shared" si="0"/>
        <v>1561996285</v>
      </c>
      <c r="X8" s="172">
        <f t="shared" si="0"/>
        <v>1561996285</v>
      </c>
      <c r="Y8" s="173">
        <f t="shared" si="0"/>
        <v>0</v>
      </c>
      <c r="Z8" s="173">
        <f t="shared" si="0"/>
        <v>0</v>
      </c>
      <c r="AA8" s="173">
        <f t="shared" si="0"/>
        <v>0</v>
      </c>
      <c r="AB8" s="173">
        <f t="shared" si="0"/>
        <v>0</v>
      </c>
      <c r="AC8" s="173">
        <f t="shared" si="0"/>
        <v>0</v>
      </c>
      <c r="AD8" s="175">
        <f t="shared" si="0"/>
        <v>0</v>
      </c>
      <c r="AE8" s="173">
        <f t="shared" si="0"/>
        <v>0</v>
      </c>
      <c r="AF8" s="173">
        <f t="shared" si="0"/>
        <v>0</v>
      </c>
      <c r="AG8" s="173">
        <f t="shared" si="0"/>
        <v>0</v>
      </c>
      <c r="AH8" s="173">
        <f t="shared" si="0"/>
        <v>0</v>
      </c>
      <c r="AI8" s="173">
        <f t="shared" si="0"/>
        <v>0</v>
      </c>
      <c r="AJ8" s="174">
        <f t="shared" si="0"/>
        <v>1561996285</v>
      </c>
      <c r="AK8" s="172">
        <f t="shared" si="0"/>
        <v>247689841</v>
      </c>
      <c r="AL8" s="173">
        <f t="shared" si="0"/>
        <v>309426672</v>
      </c>
      <c r="AM8" s="173">
        <f t="shared" si="0"/>
        <v>98260586</v>
      </c>
      <c r="AN8" s="173">
        <f t="shared" si="0"/>
        <v>28853951</v>
      </c>
      <c r="AO8" s="173">
        <f t="shared" si="0"/>
        <v>418269026</v>
      </c>
      <c r="AP8" s="173">
        <f t="shared" si="0"/>
        <v>162311314</v>
      </c>
      <c r="AQ8" s="175">
        <f t="shared" si="0"/>
        <v>21272328</v>
      </c>
      <c r="AR8" s="173">
        <f t="shared" si="0"/>
        <v>8946949</v>
      </c>
      <c r="AS8" s="173">
        <f t="shared" si="0"/>
        <v>0</v>
      </c>
      <c r="AT8" s="173">
        <f t="shared" si="0"/>
        <v>10521857</v>
      </c>
      <c r="AU8" s="173">
        <f t="shared" si="0"/>
        <v>9715795</v>
      </c>
      <c r="AV8" s="173">
        <f t="shared" si="0"/>
        <v>50392244</v>
      </c>
      <c r="AW8" s="174">
        <f t="shared" si="0"/>
        <v>1365660563</v>
      </c>
      <c r="AX8" s="172">
        <f t="shared" si="0"/>
        <v>0</v>
      </c>
      <c r="AY8" s="239">
        <f t="shared" si="0"/>
        <v>0</v>
      </c>
      <c r="AZ8" s="174">
        <f t="shared" si="0"/>
        <v>196335722</v>
      </c>
    </row>
    <row r="9" spans="1:52" ht="13.5" thickBot="1">
      <c r="A9" s="38"/>
      <c r="B9" s="38"/>
      <c r="C9" s="38"/>
      <c r="D9" s="38"/>
      <c r="E9" s="38"/>
      <c r="F9" s="38"/>
      <c r="G9" s="39"/>
      <c r="H9" s="36"/>
      <c r="I9" s="36"/>
      <c r="J9" s="36"/>
      <c r="K9" s="36"/>
      <c r="L9" s="36"/>
      <c r="M9" s="36"/>
      <c r="N9" s="36"/>
      <c r="O9" s="36"/>
      <c r="P9" s="36"/>
      <c r="Q9" s="40"/>
      <c r="R9" s="36"/>
      <c r="S9" s="36"/>
      <c r="T9" s="36"/>
      <c r="U9" s="36"/>
      <c r="V9" s="36"/>
      <c r="W9" s="254"/>
      <c r="X9" s="36"/>
      <c r="Y9" s="36"/>
      <c r="Z9" s="36"/>
      <c r="AA9" s="36"/>
      <c r="AB9" s="36"/>
      <c r="AC9" s="36"/>
      <c r="AD9" s="40"/>
      <c r="AE9" s="36"/>
      <c r="AF9" s="36"/>
      <c r="AG9" s="36"/>
      <c r="AH9" s="36"/>
      <c r="AI9" s="36"/>
      <c r="AJ9" s="254"/>
      <c r="AK9" s="36"/>
      <c r="AL9" s="36"/>
      <c r="AM9" s="36"/>
      <c r="AN9" s="36"/>
      <c r="AO9" s="36"/>
      <c r="AP9" s="36"/>
      <c r="AQ9" s="40"/>
      <c r="AR9" s="36"/>
      <c r="AS9" s="36"/>
      <c r="AT9" s="36"/>
      <c r="AU9" s="36"/>
      <c r="AV9" s="36"/>
      <c r="AW9" s="254"/>
      <c r="AX9" s="36"/>
      <c r="AY9" s="36"/>
      <c r="AZ9" s="36"/>
    </row>
    <row r="10" spans="1:52" ht="13.5" thickBot="1">
      <c r="A10" s="123" t="s">
        <v>126</v>
      </c>
      <c r="B10" s="124"/>
      <c r="C10" s="124"/>
      <c r="D10" s="124"/>
      <c r="E10" s="124"/>
      <c r="F10" s="124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7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7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7"/>
      <c r="AR10" s="126"/>
      <c r="AS10" s="126"/>
      <c r="AT10" s="126"/>
      <c r="AU10" s="126"/>
      <c r="AV10" s="126"/>
      <c r="AW10" s="126"/>
      <c r="AX10" s="126"/>
      <c r="AY10" s="126"/>
      <c r="AZ10" s="128"/>
    </row>
    <row r="11" spans="1:52" ht="13.5" thickBot="1">
      <c r="A11" s="38"/>
      <c r="B11" s="38"/>
      <c r="C11" s="38"/>
      <c r="D11" s="38"/>
      <c r="E11" s="38"/>
      <c r="F11" s="38"/>
      <c r="G11" s="39"/>
      <c r="H11" s="36"/>
      <c r="I11" s="36"/>
      <c r="J11" s="36"/>
      <c r="K11" s="36"/>
      <c r="L11" s="36"/>
      <c r="M11" s="36"/>
      <c r="N11" s="36"/>
      <c r="O11" s="36"/>
      <c r="P11" s="36"/>
      <c r="Q11" s="40"/>
      <c r="R11" s="36"/>
      <c r="S11" s="36"/>
      <c r="T11" s="36"/>
      <c r="U11" s="36"/>
      <c r="V11" s="36"/>
      <c r="W11" s="254"/>
      <c r="X11" s="36"/>
      <c r="Y11" s="36"/>
      <c r="Z11" s="36"/>
      <c r="AA11" s="36"/>
      <c r="AB11" s="36"/>
      <c r="AC11" s="36"/>
      <c r="AD11" s="40"/>
      <c r="AE11" s="36"/>
      <c r="AF11" s="36"/>
      <c r="AG11" s="36"/>
      <c r="AH11" s="36"/>
      <c r="AI11" s="36"/>
      <c r="AJ11" s="254"/>
      <c r="AK11" s="36"/>
      <c r="AL11" s="36"/>
      <c r="AM11" s="36"/>
      <c r="AN11" s="36"/>
      <c r="AO11" s="36"/>
      <c r="AP11" s="36"/>
      <c r="AQ11" s="40"/>
      <c r="AR11" s="36"/>
      <c r="AS11" s="36"/>
      <c r="AT11" s="36"/>
      <c r="AU11" s="36"/>
      <c r="AV11" s="36"/>
      <c r="AW11" s="254"/>
      <c r="AX11" s="36"/>
      <c r="AY11" s="36"/>
      <c r="AZ11" s="36"/>
    </row>
    <row r="12" spans="1:52" ht="30.75" customHeight="1" thickBot="1">
      <c r="A12" s="169" t="s">
        <v>169</v>
      </c>
      <c r="B12" s="170" t="s">
        <v>128</v>
      </c>
      <c r="C12" s="170" t="s">
        <v>128</v>
      </c>
      <c r="D12" s="170" t="s">
        <v>128</v>
      </c>
      <c r="E12" s="170" t="s">
        <v>128</v>
      </c>
      <c r="F12" s="170" t="s">
        <v>128</v>
      </c>
      <c r="G12" s="193" t="s">
        <v>171</v>
      </c>
      <c r="H12" s="172">
        <f aca="true" t="shared" si="1" ref="H12:AZ12">+H13</f>
        <v>1561996285</v>
      </c>
      <c r="I12" s="240">
        <f t="shared" si="1"/>
        <v>0</v>
      </c>
      <c r="J12" s="606">
        <f t="shared" si="1"/>
        <v>1561996285</v>
      </c>
      <c r="K12" s="618">
        <f t="shared" si="1"/>
        <v>1561996285</v>
      </c>
      <c r="L12" s="173">
        <f t="shared" si="1"/>
        <v>0</v>
      </c>
      <c r="M12" s="173">
        <f t="shared" si="1"/>
        <v>0</v>
      </c>
      <c r="N12" s="173">
        <f t="shared" si="1"/>
        <v>0</v>
      </c>
      <c r="O12" s="173">
        <f t="shared" si="1"/>
        <v>0</v>
      </c>
      <c r="P12" s="173">
        <f t="shared" si="1"/>
        <v>0</v>
      </c>
      <c r="Q12" s="175">
        <f t="shared" si="1"/>
        <v>0</v>
      </c>
      <c r="R12" s="173">
        <f t="shared" si="1"/>
        <v>0</v>
      </c>
      <c r="S12" s="173">
        <f t="shared" si="1"/>
        <v>0</v>
      </c>
      <c r="T12" s="173">
        <f t="shared" si="1"/>
        <v>0</v>
      </c>
      <c r="U12" s="173">
        <f t="shared" si="1"/>
        <v>0</v>
      </c>
      <c r="V12" s="240">
        <f t="shared" si="1"/>
        <v>0</v>
      </c>
      <c r="W12" s="606">
        <f t="shared" si="1"/>
        <v>1561996285</v>
      </c>
      <c r="X12" s="618">
        <f t="shared" si="1"/>
        <v>1561996285</v>
      </c>
      <c r="Y12" s="173">
        <f t="shared" si="1"/>
        <v>0</v>
      </c>
      <c r="Z12" s="173">
        <f t="shared" si="1"/>
        <v>0</v>
      </c>
      <c r="AA12" s="173">
        <f t="shared" si="1"/>
        <v>0</v>
      </c>
      <c r="AB12" s="173">
        <f t="shared" si="1"/>
        <v>0</v>
      </c>
      <c r="AC12" s="173">
        <f t="shared" si="1"/>
        <v>0</v>
      </c>
      <c r="AD12" s="175">
        <f t="shared" si="1"/>
        <v>0</v>
      </c>
      <c r="AE12" s="173">
        <f t="shared" si="1"/>
        <v>0</v>
      </c>
      <c r="AF12" s="173">
        <f t="shared" si="1"/>
        <v>0</v>
      </c>
      <c r="AG12" s="173">
        <f t="shared" si="1"/>
        <v>0</v>
      </c>
      <c r="AH12" s="173">
        <f t="shared" si="1"/>
        <v>0</v>
      </c>
      <c r="AI12" s="240">
        <f t="shared" si="1"/>
        <v>0</v>
      </c>
      <c r="AJ12" s="606">
        <f t="shared" si="1"/>
        <v>1561996285</v>
      </c>
      <c r="AK12" s="618">
        <f t="shared" si="1"/>
        <v>247689841</v>
      </c>
      <c r="AL12" s="173">
        <f t="shared" si="1"/>
        <v>309426672</v>
      </c>
      <c r="AM12" s="173">
        <f t="shared" si="1"/>
        <v>98260586</v>
      </c>
      <c r="AN12" s="173">
        <f t="shared" si="1"/>
        <v>28853951</v>
      </c>
      <c r="AO12" s="173">
        <f t="shared" si="1"/>
        <v>418269026</v>
      </c>
      <c r="AP12" s="173">
        <f t="shared" si="1"/>
        <v>162311314</v>
      </c>
      <c r="AQ12" s="175">
        <f t="shared" si="1"/>
        <v>21272328</v>
      </c>
      <c r="AR12" s="173">
        <f t="shared" si="1"/>
        <v>8946949</v>
      </c>
      <c r="AS12" s="173">
        <f t="shared" si="1"/>
        <v>0</v>
      </c>
      <c r="AT12" s="173">
        <f t="shared" si="1"/>
        <v>10521857</v>
      </c>
      <c r="AU12" s="173">
        <f t="shared" si="1"/>
        <v>9715795</v>
      </c>
      <c r="AV12" s="240">
        <f t="shared" si="1"/>
        <v>50392244</v>
      </c>
      <c r="AW12" s="606">
        <f t="shared" si="1"/>
        <v>1365660563</v>
      </c>
      <c r="AX12" s="618">
        <f t="shared" si="1"/>
        <v>0</v>
      </c>
      <c r="AY12" s="173">
        <f t="shared" si="1"/>
        <v>0</v>
      </c>
      <c r="AZ12" s="174">
        <f t="shared" si="1"/>
        <v>196335722</v>
      </c>
    </row>
    <row r="13" spans="1:52" ht="30.75" customHeight="1">
      <c r="A13" s="176" t="s">
        <v>169</v>
      </c>
      <c r="B13" s="177" t="s">
        <v>130</v>
      </c>
      <c r="C13" s="177" t="s">
        <v>180</v>
      </c>
      <c r="D13" s="177" t="s">
        <v>128</v>
      </c>
      <c r="E13" s="177" t="s">
        <v>128</v>
      </c>
      <c r="F13" s="177" t="s">
        <v>128</v>
      </c>
      <c r="G13" s="194" t="s">
        <v>181</v>
      </c>
      <c r="H13" s="180">
        <f>SUM(H14:H17)</f>
        <v>1561996285</v>
      </c>
      <c r="I13" s="629">
        <f>SUM(I14:I17)</f>
        <v>0</v>
      </c>
      <c r="J13" s="607">
        <f aca="true" t="shared" si="2" ref="J13:AZ13">SUM(J14:J17)</f>
        <v>1561996285</v>
      </c>
      <c r="K13" s="619">
        <f t="shared" si="2"/>
        <v>1561996285</v>
      </c>
      <c r="L13" s="181">
        <f t="shared" si="2"/>
        <v>0</v>
      </c>
      <c r="M13" s="181">
        <f t="shared" si="2"/>
        <v>0</v>
      </c>
      <c r="N13" s="181">
        <f t="shared" si="2"/>
        <v>0</v>
      </c>
      <c r="O13" s="181">
        <f t="shared" si="2"/>
        <v>0</v>
      </c>
      <c r="P13" s="181">
        <f t="shared" si="2"/>
        <v>0</v>
      </c>
      <c r="Q13" s="181">
        <f t="shared" si="2"/>
        <v>0</v>
      </c>
      <c r="R13" s="181">
        <f t="shared" si="2"/>
        <v>0</v>
      </c>
      <c r="S13" s="181">
        <f t="shared" si="2"/>
        <v>0</v>
      </c>
      <c r="T13" s="181">
        <f t="shared" si="2"/>
        <v>0</v>
      </c>
      <c r="U13" s="181">
        <f t="shared" si="2"/>
        <v>0</v>
      </c>
      <c r="V13" s="629">
        <f t="shared" si="2"/>
        <v>0</v>
      </c>
      <c r="W13" s="607">
        <f t="shared" si="2"/>
        <v>1561996285</v>
      </c>
      <c r="X13" s="619">
        <f t="shared" si="2"/>
        <v>1561996285</v>
      </c>
      <c r="Y13" s="181">
        <f t="shared" si="2"/>
        <v>0</v>
      </c>
      <c r="Z13" s="181">
        <f t="shared" si="2"/>
        <v>0</v>
      </c>
      <c r="AA13" s="181">
        <f t="shared" si="2"/>
        <v>0</v>
      </c>
      <c r="AB13" s="181">
        <f t="shared" si="2"/>
        <v>0</v>
      </c>
      <c r="AC13" s="181">
        <f t="shared" si="2"/>
        <v>0</v>
      </c>
      <c r="AD13" s="181">
        <f t="shared" si="2"/>
        <v>0</v>
      </c>
      <c r="AE13" s="181">
        <f t="shared" si="2"/>
        <v>0</v>
      </c>
      <c r="AF13" s="181">
        <f t="shared" si="2"/>
        <v>0</v>
      </c>
      <c r="AG13" s="181">
        <f t="shared" si="2"/>
        <v>0</v>
      </c>
      <c r="AH13" s="181">
        <f t="shared" si="2"/>
        <v>0</v>
      </c>
      <c r="AI13" s="629">
        <f t="shared" si="2"/>
        <v>0</v>
      </c>
      <c r="AJ13" s="607">
        <f t="shared" si="2"/>
        <v>1561996285</v>
      </c>
      <c r="AK13" s="619">
        <f t="shared" si="2"/>
        <v>247689841</v>
      </c>
      <c r="AL13" s="181">
        <f t="shared" si="2"/>
        <v>309426672</v>
      </c>
      <c r="AM13" s="181">
        <f t="shared" si="2"/>
        <v>98260586</v>
      </c>
      <c r="AN13" s="181">
        <f t="shared" si="2"/>
        <v>28853951</v>
      </c>
      <c r="AO13" s="181">
        <f t="shared" si="2"/>
        <v>418269026</v>
      </c>
      <c r="AP13" s="181">
        <f t="shared" si="2"/>
        <v>162311314</v>
      </c>
      <c r="AQ13" s="181">
        <f t="shared" si="2"/>
        <v>21272328</v>
      </c>
      <c r="AR13" s="181">
        <f t="shared" si="2"/>
        <v>8946949</v>
      </c>
      <c r="AS13" s="181">
        <f t="shared" si="2"/>
        <v>0</v>
      </c>
      <c r="AT13" s="181">
        <f t="shared" si="2"/>
        <v>10521857</v>
      </c>
      <c r="AU13" s="181">
        <f t="shared" si="2"/>
        <v>9715795</v>
      </c>
      <c r="AV13" s="629">
        <f t="shared" si="2"/>
        <v>50392244</v>
      </c>
      <c r="AW13" s="607">
        <f t="shared" si="2"/>
        <v>1365660563</v>
      </c>
      <c r="AX13" s="619">
        <f t="shared" si="2"/>
        <v>0</v>
      </c>
      <c r="AY13" s="181">
        <f t="shared" si="2"/>
        <v>0</v>
      </c>
      <c r="AZ13" s="182">
        <f t="shared" si="2"/>
        <v>196335722</v>
      </c>
    </row>
    <row r="14" spans="1:52" ht="30.75" customHeight="1">
      <c r="A14" s="133" t="s">
        <v>169</v>
      </c>
      <c r="B14" s="129" t="s">
        <v>130</v>
      </c>
      <c r="C14" s="129" t="s">
        <v>180</v>
      </c>
      <c r="D14" s="129" t="s">
        <v>174</v>
      </c>
      <c r="E14" s="129" t="s">
        <v>182</v>
      </c>
      <c r="F14" s="129" t="s">
        <v>134</v>
      </c>
      <c r="G14" s="273" t="s">
        <v>183</v>
      </c>
      <c r="H14" s="167">
        <v>60905172</v>
      </c>
      <c r="I14" s="604">
        <v>0</v>
      </c>
      <c r="J14" s="608">
        <f>SUM(H14:I14)</f>
        <v>60905172</v>
      </c>
      <c r="K14" s="429">
        <f>J14</f>
        <v>60905172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2">
        <v>0</v>
      </c>
      <c r="R14" s="131">
        <v>0</v>
      </c>
      <c r="S14" s="131">
        <v>0</v>
      </c>
      <c r="T14" s="131">
        <v>0</v>
      </c>
      <c r="U14" s="131">
        <v>0</v>
      </c>
      <c r="V14" s="604">
        <v>0</v>
      </c>
      <c r="W14" s="608">
        <f>SUM(K14:V14)</f>
        <v>60905172</v>
      </c>
      <c r="X14" s="429">
        <f>K14</f>
        <v>60905172</v>
      </c>
      <c r="Y14" s="131">
        <f aca="true" t="shared" si="3" ref="Y14:AI17">L14</f>
        <v>0</v>
      </c>
      <c r="Z14" s="131">
        <f t="shared" si="3"/>
        <v>0</v>
      </c>
      <c r="AA14" s="131">
        <f t="shared" si="3"/>
        <v>0</v>
      </c>
      <c r="AB14" s="131">
        <f t="shared" si="3"/>
        <v>0</v>
      </c>
      <c r="AC14" s="131">
        <f t="shared" si="3"/>
        <v>0</v>
      </c>
      <c r="AD14" s="132">
        <f t="shared" si="3"/>
        <v>0</v>
      </c>
      <c r="AE14" s="131">
        <f t="shared" si="3"/>
        <v>0</v>
      </c>
      <c r="AF14" s="131">
        <f t="shared" si="3"/>
        <v>0</v>
      </c>
      <c r="AG14" s="131">
        <f t="shared" si="3"/>
        <v>0</v>
      </c>
      <c r="AH14" s="131">
        <f t="shared" si="3"/>
        <v>0</v>
      </c>
      <c r="AI14" s="604">
        <f t="shared" si="3"/>
        <v>0</v>
      </c>
      <c r="AJ14" s="608">
        <f>SUM(X14:AI14)</f>
        <v>60905172</v>
      </c>
      <c r="AK14" s="429">
        <v>23441563</v>
      </c>
      <c r="AL14" s="131">
        <v>0</v>
      </c>
      <c r="AM14" s="131">
        <v>13720880</v>
      </c>
      <c r="AN14" s="131">
        <v>0</v>
      </c>
      <c r="AO14" s="131">
        <v>0</v>
      </c>
      <c r="AP14" s="131">
        <v>0</v>
      </c>
      <c r="AQ14" s="131">
        <v>0</v>
      </c>
      <c r="AR14" s="131">
        <v>0</v>
      </c>
      <c r="AS14" s="131">
        <v>0</v>
      </c>
      <c r="AT14" s="131">
        <v>0</v>
      </c>
      <c r="AU14" s="131">
        <v>0</v>
      </c>
      <c r="AV14" s="604">
        <v>11597616</v>
      </c>
      <c r="AW14" s="608">
        <f>SUM(AK14:AV14)</f>
        <v>48760059</v>
      </c>
      <c r="AX14" s="630">
        <f>J14-W14</f>
        <v>0</v>
      </c>
      <c r="AY14" s="271">
        <f>W14-AJ14</f>
        <v>0</v>
      </c>
      <c r="AZ14" s="267">
        <f>AJ14-AW14</f>
        <v>12145113</v>
      </c>
    </row>
    <row r="15" spans="1:52" ht="30.75" customHeight="1">
      <c r="A15" s="133" t="s">
        <v>169</v>
      </c>
      <c r="B15" s="129" t="s">
        <v>130</v>
      </c>
      <c r="C15" s="129" t="s">
        <v>180</v>
      </c>
      <c r="D15" s="129" t="s">
        <v>184</v>
      </c>
      <c r="E15" s="129" t="s">
        <v>268</v>
      </c>
      <c r="F15" s="129" t="s">
        <v>134</v>
      </c>
      <c r="G15" s="628" t="s">
        <v>188</v>
      </c>
      <c r="H15" s="167">
        <v>96398649</v>
      </c>
      <c r="I15" s="604">
        <v>0</v>
      </c>
      <c r="J15" s="608">
        <f>SUM(H15:I15)</f>
        <v>96398649</v>
      </c>
      <c r="K15" s="429">
        <f>J15</f>
        <v>96398649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604">
        <v>0</v>
      </c>
      <c r="W15" s="608">
        <f>SUM(K15:V15)</f>
        <v>96398649</v>
      </c>
      <c r="X15" s="429">
        <f>K15</f>
        <v>96398649</v>
      </c>
      <c r="Y15" s="131">
        <f t="shared" si="3"/>
        <v>0</v>
      </c>
      <c r="Z15" s="131">
        <f t="shared" si="3"/>
        <v>0</v>
      </c>
      <c r="AA15" s="131">
        <f t="shared" si="3"/>
        <v>0</v>
      </c>
      <c r="AB15" s="131">
        <f t="shared" si="3"/>
        <v>0</v>
      </c>
      <c r="AC15" s="131">
        <f t="shared" si="3"/>
        <v>0</v>
      </c>
      <c r="AD15" s="131">
        <f t="shared" si="3"/>
        <v>0</v>
      </c>
      <c r="AE15" s="131">
        <f t="shared" si="3"/>
        <v>0</v>
      </c>
      <c r="AF15" s="131">
        <f t="shared" si="3"/>
        <v>0</v>
      </c>
      <c r="AG15" s="131">
        <f t="shared" si="3"/>
        <v>0</v>
      </c>
      <c r="AH15" s="131">
        <f t="shared" si="3"/>
        <v>0</v>
      </c>
      <c r="AI15" s="604">
        <f t="shared" si="3"/>
        <v>0</v>
      </c>
      <c r="AJ15" s="608">
        <f>SUM(X15:AI15)</f>
        <v>96398649</v>
      </c>
      <c r="AK15" s="429">
        <v>25043292</v>
      </c>
      <c r="AL15" s="131">
        <v>0</v>
      </c>
      <c r="AM15" s="131">
        <v>0</v>
      </c>
      <c r="AN15" s="131">
        <v>0</v>
      </c>
      <c r="AO15" s="131">
        <v>803234</v>
      </c>
      <c r="AP15" s="131">
        <v>0</v>
      </c>
      <c r="AQ15" s="131">
        <v>0</v>
      </c>
      <c r="AR15" s="131">
        <v>0</v>
      </c>
      <c r="AS15" s="131">
        <v>0</v>
      </c>
      <c r="AT15" s="131">
        <v>0</v>
      </c>
      <c r="AU15" s="131">
        <v>6479505</v>
      </c>
      <c r="AV15" s="604">
        <v>0</v>
      </c>
      <c r="AW15" s="608">
        <f>SUM(AK15:AV15)</f>
        <v>32326031</v>
      </c>
      <c r="AX15" s="630">
        <f>J15-W15</f>
        <v>0</v>
      </c>
      <c r="AY15" s="271">
        <f>W15-AJ15</f>
        <v>0</v>
      </c>
      <c r="AZ15" s="267">
        <f>AJ15-AW15</f>
        <v>64072618</v>
      </c>
    </row>
    <row r="16" spans="1:52" ht="30.75" customHeight="1">
      <c r="A16" s="133" t="s">
        <v>169</v>
      </c>
      <c r="B16" s="129" t="s">
        <v>130</v>
      </c>
      <c r="C16" s="129" t="s">
        <v>180</v>
      </c>
      <c r="D16" s="129" t="s">
        <v>269</v>
      </c>
      <c r="E16" s="129" t="s">
        <v>185</v>
      </c>
      <c r="F16" s="129" t="s">
        <v>134</v>
      </c>
      <c r="G16" s="273" t="s">
        <v>186</v>
      </c>
      <c r="H16" s="167">
        <v>36422800</v>
      </c>
      <c r="I16" s="604">
        <v>0</v>
      </c>
      <c r="J16" s="608">
        <f>SUM(H16:I16)</f>
        <v>36422800</v>
      </c>
      <c r="K16" s="429">
        <f>J16</f>
        <v>36422800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2">
        <v>0</v>
      </c>
      <c r="R16" s="131">
        <v>0</v>
      </c>
      <c r="S16" s="131">
        <v>0</v>
      </c>
      <c r="T16" s="131">
        <v>0</v>
      </c>
      <c r="U16" s="131">
        <v>0</v>
      </c>
      <c r="V16" s="604">
        <v>0</v>
      </c>
      <c r="W16" s="608">
        <f>SUM(K16:V16)</f>
        <v>36422800</v>
      </c>
      <c r="X16" s="429">
        <f>K16</f>
        <v>36422800</v>
      </c>
      <c r="Y16" s="131">
        <f t="shared" si="3"/>
        <v>0</v>
      </c>
      <c r="Z16" s="131">
        <f t="shared" si="3"/>
        <v>0</v>
      </c>
      <c r="AA16" s="131">
        <f t="shared" si="3"/>
        <v>0</v>
      </c>
      <c r="AB16" s="131">
        <f t="shared" si="3"/>
        <v>0</v>
      </c>
      <c r="AC16" s="131">
        <f t="shared" si="3"/>
        <v>0</v>
      </c>
      <c r="AD16" s="132">
        <f t="shared" si="3"/>
        <v>0</v>
      </c>
      <c r="AE16" s="131">
        <f t="shared" si="3"/>
        <v>0</v>
      </c>
      <c r="AF16" s="131">
        <f t="shared" si="3"/>
        <v>0</v>
      </c>
      <c r="AG16" s="131">
        <f t="shared" si="3"/>
        <v>0</v>
      </c>
      <c r="AH16" s="131">
        <f t="shared" si="3"/>
        <v>0</v>
      </c>
      <c r="AI16" s="604">
        <f t="shared" si="3"/>
        <v>0</v>
      </c>
      <c r="AJ16" s="608">
        <f>SUM(X16:AI16)</f>
        <v>36422800</v>
      </c>
      <c r="AK16" s="429">
        <v>0</v>
      </c>
      <c r="AL16" s="131">
        <v>36233700</v>
      </c>
      <c r="AM16" s="131">
        <v>0</v>
      </c>
      <c r="AN16" s="131">
        <v>0</v>
      </c>
      <c r="AO16" s="131">
        <v>0</v>
      </c>
      <c r="AP16" s="131">
        <v>0</v>
      </c>
      <c r="AQ16" s="131">
        <v>0</v>
      </c>
      <c r="AR16" s="131">
        <v>0</v>
      </c>
      <c r="AS16" s="131">
        <v>0</v>
      </c>
      <c r="AT16" s="131">
        <v>0</v>
      </c>
      <c r="AU16" s="131">
        <v>0</v>
      </c>
      <c r="AV16" s="604">
        <v>0</v>
      </c>
      <c r="AW16" s="608">
        <f>SUM(AK16:AV16)</f>
        <v>36233700</v>
      </c>
      <c r="AX16" s="630">
        <f>J16-W16</f>
        <v>0</v>
      </c>
      <c r="AY16" s="271">
        <f>W16-AJ16</f>
        <v>0</v>
      </c>
      <c r="AZ16" s="267">
        <f>AJ16-AW16</f>
        <v>189100</v>
      </c>
    </row>
    <row r="17" spans="1:52" ht="30.75" customHeight="1" thickBot="1">
      <c r="A17" s="134" t="s">
        <v>169</v>
      </c>
      <c r="B17" s="135" t="s">
        <v>130</v>
      </c>
      <c r="C17" s="135" t="s">
        <v>180</v>
      </c>
      <c r="D17" s="135" t="s">
        <v>269</v>
      </c>
      <c r="E17" s="135" t="s">
        <v>185</v>
      </c>
      <c r="F17" s="135" t="s">
        <v>187</v>
      </c>
      <c r="G17" s="274" t="s">
        <v>186</v>
      </c>
      <c r="H17" s="168">
        <f>601975992+162794752+639921720-H16</f>
        <v>1368269664</v>
      </c>
      <c r="I17" s="605">
        <v>0</v>
      </c>
      <c r="J17" s="609">
        <f>SUM(H17:I17)</f>
        <v>1368269664</v>
      </c>
      <c r="K17" s="627">
        <f>J17</f>
        <v>1368269664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605">
        <v>0</v>
      </c>
      <c r="W17" s="609">
        <f>SUM(K17:V17)</f>
        <v>1368269664</v>
      </c>
      <c r="X17" s="627">
        <f>K17</f>
        <v>1368269664</v>
      </c>
      <c r="Y17" s="136">
        <f t="shared" si="3"/>
        <v>0</v>
      </c>
      <c r="Z17" s="136">
        <f t="shared" si="3"/>
        <v>0</v>
      </c>
      <c r="AA17" s="136">
        <f t="shared" si="3"/>
        <v>0</v>
      </c>
      <c r="AB17" s="136">
        <f t="shared" si="3"/>
        <v>0</v>
      </c>
      <c r="AC17" s="136">
        <f t="shared" si="3"/>
        <v>0</v>
      </c>
      <c r="AD17" s="136">
        <f t="shared" si="3"/>
        <v>0</v>
      </c>
      <c r="AE17" s="136">
        <f t="shared" si="3"/>
        <v>0</v>
      </c>
      <c r="AF17" s="136">
        <f t="shared" si="3"/>
        <v>0</v>
      </c>
      <c r="AG17" s="136">
        <f t="shared" si="3"/>
        <v>0</v>
      </c>
      <c r="AH17" s="136">
        <f t="shared" si="3"/>
        <v>0</v>
      </c>
      <c r="AI17" s="605">
        <f t="shared" si="3"/>
        <v>0</v>
      </c>
      <c r="AJ17" s="609">
        <f>SUM(X17:AI17)</f>
        <v>1368269664</v>
      </c>
      <c r="AK17" s="627">
        <f>47954503+151250483</f>
        <v>199204986</v>
      </c>
      <c r="AL17" s="136">
        <v>273192972</v>
      </c>
      <c r="AM17" s="136">
        <f>164020+6729142+77646544</f>
        <v>84539706</v>
      </c>
      <c r="AN17" s="136">
        <v>28853951</v>
      </c>
      <c r="AO17" s="136">
        <v>417465792</v>
      </c>
      <c r="AP17" s="136">
        <f>142646405+15981324+3683585</f>
        <v>162311314</v>
      </c>
      <c r="AQ17" s="136">
        <v>21272328</v>
      </c>
      <c r="AR17" s="136">
        <v>8946949</v>
      </c>
      <c r="AS17" s="136">
        <v>0</v>
      </c>
      <c r="AT17" s="136">
        <f>10521857</f>
        <v>10521857</v>
      </c>
      <c r="AU17" s="136">
        <v>3236290</v>
      </c>
      <c r="AV17" s="605">
        <v>38794628</v>
      </c>
      <c r="AW17" s="609">
        <f>SUM(AK17:AV17)</f>
        <v>1248340773</v>
      </c>
      <c r="AX17" s="631">
        <f>J17-W17</f>
        <v>0</v>
      </c>
      <c r="AY17" s="272">
        <f>W17-AJ17</f>
        <v>0</v>
      </c>
      <c r="AZ17" s="269">
        <f>AJ17-AW17</f>
        <v>119928891</v>
      </c>
    </row>
    <row r="19" spans="1:52" ht="12.75">
      <c r="A19" s="99" t="s">
        <v>199</v>
      </c>
      <c r="B19" s="99"/>
      <c r="C19" s="99"/>
      <c r="D19" s="99"/>
      <c r="E19" s="99"/>
      <c r="F19" s="99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105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105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105"/>
      <c r="AR19" s="98"/>
      <c r="AS19" s="98"/>
      <c r="AT19" s="98"/>
      <c r="AU19" s="98"/>
      <c r="AV19" s="98"/>
      <c r="AW19" s="98"/>
      <c r="AX19" s="98"/>
      <c r="AY19" s="98"/>
      <c r="AZ19" s="98"/>
    </row>
    <row r="20" ht="13.5" thickBot="1">
      <c r="G20" s="431"/>
    </row>
    <row r="21" spans="1:52" ht="13.5" thickTop="1">
      <c r="A21" s="37"/>
      <c r="B21" s="37"/>
      <c r="C21" s="37"/>
      <c r="D21" s="37"/>
      <c r="E21" s="37"/>
      <c r="F21" s="37"/>
      <c r="G21" s="430" t="s">
        <v>200</v>
      </c>
      <c r="H21" s="215">
        <f aca="true" t="shared" si="4" ref="H21:AZ21">+H12</f>
        <v>1561996285</v>
      </c>
      <c r="I21" s="196">
        <f t="shared" si="4"/>
        <v>0</v>
      </c>
      <c r="J21" s="198">
        <f t="shared" si="4"/>
        <v>1561996285</v>
      </c>
      <c r="K21" s="215">
        <f t="shared" si="4"/>
        <v>1561996285</v>
      </c>
      <c r="L21" s="196">
        <f t="shared" si="4"/>
        <v>0</v>
      </c>
      <c r="M21" s="196">
        <f t="shared" si="4"/>
        <v>0</v>
      </c>
      <c r="N21" s="196">
        <f t="shared" si="4"/>
        <v>0</v>
      </c>
      <c r="O21" s="196">
        <f t="shared" si="4"/>
        <v>0</v>
      </c>
      <c r="P21" s="196">
        <f t="shared" si="4"/>
        <v>0</v>
      </c>
      <c r="Q21" s="197">
        <f t="shared" si="4"/>
        <v>0</v>
      </c>
      <c r="R21" s="196">
        <f t="shared" si="4"/>
        <v>0</v>
      </c>
      <c r="S21" s="196">
        <f t="shared" si="4"/>
        <v>0</v>
      </c>
      <c r="T21" s="196">
        <f t="shared" si="4"/>
        <v>0</v>
      </c>
      <c r="U21" s="196">
        <f t="shared" si="4"/>
        <v>0</v>
      </c>
      <c r="V21" s="196">
        <f t="shared" si="4"/>
        <v>0</v>
      </c>
      <c r="W21" s="198">
        <f t="shared" si="4"/>
        <v>1561996285</v>
      </c>
      <c r="X21" s="215">
        <f t="shared" si="4"/>
        <v>1561996285</v>
      </c>
      <c r="Y21" s="196">
        <f t="shared" si="4"/>
        <v>0</v>
      </c>
      <c r="Z21" s="196">
        <f t="shared" si="4"/>
        <v>0</v>
      </c>
      <c r="AA21" s="196">
        <f t="shared" si="4"/>
        <v>0</v>
      </c>
      <c r="AB21" s="196">
        <f t="shared" si="4"/>
        <v>0</v>
      </c>
      <c r="AC21" s="196">
        <f t="shared" si="4"/>
        <v>0</v>
      </c>
      <c r="AD21" s="197">
        <f t="shared" si="4"/>
        <v>0</v>
      </c>
      <c r="AE21" s="196">
        <f t="shared" si="4"/>
        <v>0</v>
      </c>
      <c r="AF21" s="196">
        <f t="shared" si="4"/>
        <v>0</v>
      </c>
      <c r="AG21" s="196">
        <f t="shared" si="4"/>
        <v>0</v>
      </c>
      <c r="AH21" s="196">
        <f t="shared" si="4"/>
        <v>0</v>
      </c>
      <c r="AI21" s="196">
        <f t="shared" si="4"/>
        <v>0</v>
      </c>
      <c r="AJ21" s="198">
        <f t="shared" si="4"/>
        <v>1561996285</v>
      </c>
      <c r="AK21" s="196">
        <f t="shared" si="4"/>
        <v>247689841</v>
      </c>
      <c r="AL21" s="196">
        <f t="shared" si="4"/>
        <v>309426672</v>
      </c>
      <c r="AM21" s="196">
        <f t="shared" si="4"/>
        <v>98260586</v>
      </c>
      <c r="AN21" s="196">
        <f t="shared" si="4"/>
        <v>28853951</v>
      </c>
      <c r="AO21" s="196">
        <f t="shared" si="4"/>
        <v>418269026</v>
      </c>
      <c r="AP21" s="196">
        <f t="shared" si="4"/>
        <v>162311314</v>
      </c>
      <c r="AQ21" s="197">
        <f t="shared" si="4"/>
        <v>21272328</v>
      </c>
      <c r="AR21" s="196">
        <f t="shared" si="4"/>
        <v>8946949</v>
      </c>
      <c r="AS21" s="196">
        <f t="shared" si="4"/>
        <v>0</v>
      </c>
      <c r="AT21" s="196">
        <f t="shared" si="4"/>
        <v>10521857</v>
      </c>
      <c r="AU21" s="196">
        <f t="shared" si="4"/>
        <v>9715795</v>
      </c>
      <c r="AV21" s="196">
        <f t="shared" si="4"/>
        <v>50392244</v>
      </c>
      <c r="AW21" s="196">
        <f t="shared" si="4"/>
        <v>1365660563</v>
      </c>
      <c r="AX21" s="215">
        <f t="shared" si="4"/>
        <v>0</v>
      </c>
      <c r="AY21" s="241">
        <f t="shared" si="4"/>
        <v>0</v>
      </c>
      <c r="AZ21" s="198">
        <f t="shared" si="4"/>
        <v>196335722</v>
      </c>
    </row>
    <row r="22" spans="1:52" ht="13.5" thickBot="1">
      <c r="A22" s="37"/>
      <c r="B22" s="37"/>
      <c r="C22" s="37"/>
      <c r="D22" s="37"/>
      <c r="E22" s="37"/>
      <c r="F22" s="37"/>
      <c r="G22" s="199" t="s">
        <v>201</v>
      </c>
      <c r="H22" s="216" t="s">
        <v>275</v>
      </c>
      <c r="I22" s="200" t="s">
        <v>275</v>
      </c>
      <c r="J22" s="202" t="s">
        <v>275</v>
      </c>
      <c r="K22" s="216" t="s">
        <v>275</v>
      </c>
      <c r="L22" s="200" t="s">
        <v>275</v>
      </c>
      <c r="M22" s="200" t="s">
        <v>275</v>
      </c>
      <c r="N22" s="200" t="s">
        <v>275</v>
      </c>
      <c r="O22" s="200" t="s">
        <v>275</v>
      </c>
      <c r="P22" s="200" t="s">
        <v>275</v>
      </c>
      <c r="Q22" s="201" t="s">
        <v>275</v>
      </c>
      <c r="R22" s="200" t="s">
        <v>275</v>
      </c>
      <c r="S22" s="200" t="s">
        <v>275</v>
      </c>
      <c r="T22" s="200" t="s">
        <v>275</v>
      </c>
      <c r="U22" s="200" t="s">
        <v>275</v>
      </c>
      <c r="V22" s="200" t="s">
        <v>275</v>
      </c>
      <c r="W22" s="202" t="s">
        <v>275</v>
      </c>
      <c r="X22" s="216" t="s">
        <v>275</v>
      </c>
      <c r="Y22" s="200" t="s">
        <v>275</v>
      </c>
      <c r="Z22" s="200" t="s">
        <v>275</v>
      </c>
      <c r="AA22" s="200" t="s">
        <v>275</v>
      </c>
      <c r="AB22" s="200" t="s">
        <v>275</v>
      </c>
      <c r="AC22" s="200" t="s">
        <v>275</v>
      </c>
      <c r="AD22" s="201" t="s">
        <v>275</v>
      </c>
      <c r="AE22" s="200" t="s">
        <v>275</v>
      </c>
      <c r="AF22" s="200" t="s">
        <v>275</v>
      </c>
      <c r="AG22" s="200" t="s">
        <v>275</v>
      </c>
      <c r="AH22" s="200" t="s">
        <v>275</v>
      </c>
      <c r="AI22" s="200" t="s">
        <v>275</v>
      </c>
      <c r="AJ22" s="202" t="s">
        <v>275</v>
      </c>
      <c r="AK22" s="200" t="s">
        <v>275</v>
      </c>
      <c r="AL22" s="200" t="s">
        <v>275</v>
      </c>
      <c r="AM22" s="200" t="s">
        <v>275</v>
      </c>
      <c r="AN22" s="200" t="s">
        <v>275</v>
      </c>
      <c r="AO22" s="200" t="s">
        <v>275</v>
      </c>
      <c r="AP22" s="200" t="s">
        <v>275</v>
      </c>
      <c r="AQ22" s="201" t="s">
        <v>275</v>
      </c>
      <c r="AR22" s="200" t="s">
        <v>275</v>
      </c>
      <c r="AS22" s="200" t="s">
        <v>275</v>
      </c>
      <c r="AT22" s="200" t="s">
        <v>275</v>
      </c>
      <c r="AU22" s="200" t="s">
        <v>275</v>
      </c>
      <c r="AV22" s="200" t="s">
        <v>275</v>
      </c>
      <c r="AW22" s="200" t="s">
        <v>275</v>
      </c>
      <c r="AX22" s="216" t="s">
        <v>275</v>
      </c>
      <c r="AY22" s="242" t="s">
        <v>275</v>
      </c>
      <c r="AZ22" s="202" t="s">
        <v>275</v>
      </c>
    </row>
    <row r="23" ht="13.5" thickBot="1"/>
    <row r="24" spans="1:52" ht="12.75">
      <c r="A24" s="37"/>
      <c r="B24" s="37"/>
      <c r="C24" s="37"/>
      <c r="D24" s="37"/>
      <c r="E24" s="37"/>
      <c r="F24" s="37"/>
      <c r="G24" s="203" t="s">
        <v>129</v>
      </c>
      <c r="H24" s="217" t="s">
        <v>275</v>
      </c>
      <c r="I24" s="204" t="s">
        <v>275</v>
      </c>
      <c r="J24" s="206" t="s">
        <v>275</v>
      </c>
      <c r="K24" s="217" t="s">
        <v>275</v>
      </c>
      <c r="L24" s="204" t="s">
        <v>275</v>
      </c>
      <c r="M24" s="204" t="s">
        <v>275</v>
      </c>
      <c r="N24" s="204" t="s">
        <v>275</v>
      </c>
      <c r="O24" s="204" t="s">
        <v>275</v>
      </c>
      <c r="P24" s="204" t="s">
        <v>275</v>
      </c>
      <c r="Q24" s="205" t="s">
        <v>275</v>
      </c>
      <c r="R24" s="204" t="s">
        <v>275</v>
      </c>
      <c r="S24" s="204" t="s">
        <v>275</v>
      </c>
      <c r="T24" s="204" t="s">
        <v>275</v>
      </c>
      <c r="U24" s="204" t="s">
        <v>275</v>
      </c>
      <c r="V24" s="204" t="s">
        <v>275</v>
      </c>
      <c r="W24" s="206" t="s">
        <v>275</v>
      </c>
      <c r="X24" s="217" t="s">
        <v>275</v>
      </c>
      <c r="Y24" s="204" t="s">
        <v>275</v>
      </c>
      <c r="Z24" s="204" t="s">
        <v>275</v>
      </c>
      <c r="AA24" s="204" t="s">
        <v>275</v>
      </c>
      <c r="AB24" s="204" t="s">
        <v>275</v>
      </c>
      <c r="AC24" s="204" t="s">
        <v>275</v>
      </c>
      <c r="AD24" s="205" t="s">
        <v>275</v>
      </c>
      <c r="AE24" s="204" t="s">
        <v>275</v>
      </c>
      <c r="AF24" s="204" t="s">
        <v>275</v>
      </c>
      <c r="AG24" s="204" t="s">
        <v>275</v>
      </c>
      <c r="AH24" s="204" t="s">
        <v>275</v>
      </c>
      <c r="AI24" s="204" t="s">
        <v>275</v>
      </c>
      <c r="AJ24" s="206" t="s">
        <v>275</v>
      </c>
      <c r="AK24" s="217" t="s">
        <v>275</v>
      </c>
      <c r="AL24" s="204" t="s">
        <v>275</v>
      </c>
      <c r="AM24" s="204" t="s">
        <v>275</v>
      </c>
      <c r="AN24" s="204" t="s">
        <v>275</v>
      </c>
      <c r="AO24" s="204" t="s">
        <v>275</v>
      </c>
      <c r="AP24" s="204" t="s">
        <v>275</v>
      </c>
      <c r="AQ24" s="205" t="s">
        <v>275</v>
      </c>
      <c r="AR24" s="204" t="s">
        <v>275</v>
      </c>
      <c r="AS24" s="204" t="s">
        <v>275</v>
      </c>
      <c r="AT24" s="204" t="s">
        <v>275</v>
      </c>
      <c r="AU24" s="204" t="s">
        <v>275</v>
      </c>
      <c r="AV24" s="204" t="s">
        <v>275</v>
      </c>
      <c r="AW24" s="206" t="s">
        <v>275</v>
      </c>
      <c r="AX24" s="217" t="s">
        <v>275</v>
      </c>
      <c r="AY24" s="243" t="s">
        <v>275</v>
      </c>
      <c r="AZ24" s="206" t="s">
        <v>275</v>
      </c>
    </row>
    <row r="25" spans="1:52" ht="13.5" thickBot="1">
      <c r="A25" s="37"/>
      <c r="B25" s="37"/>
      <c r="C25" s="37"/>
      <c r="D25" s="37"/>
      <c r="E25" s="37"/>
      <c r="F25" s="37"/>
      <c r="G25" s="207" t="s">
        <v>170</v>
      </c>
      <c r="H25" s="218">
        <f aca="true" t="shared" si="5" ref="H25:AB25">H8</f>
        <v>1561996285</v>
      </c>
      <c r="I25" s="208">
        <f t="shared" si="5"/>
        <v>0</v>
      </c>
      <c r="J25" s="210">
        <f t="shared" si="5"/>
        <v>1561996285</v>
      </c>
      <c r="K25" s="218">
        <f t="shared" si="5"/>
        <v>1561996285</v>
      </c>
      <c r="L25" s="208">
        <f t="shared" si="5"/>
        <v>0</v>
      </c>
      <c r="M25" s="208">
        <f t="shared" si="5"/>
        <v>0</v>
      </c>
      <c r="N25" s="208">
        <f t="shared" si="5"/>
        <v>0</v>
      </c>
      <c r="O25" s="208">
        <f t="shared" si="5"/>
        <v>0</v>
      </c>
      <c r="P25" s="208">
        <f t="shared" si="5"/>
        <v>0</v>
      </c>
      <c r="Q25" s="209">
        <f t="shared" si="5"/>
        <v>0</v>
      </c>
      <c r="R25" s="208">
        <f t="shared" si="5"/>
        <v>0</v>
      </c>
      <c r="S25" s="208">
        <f t="shared" si="5"/>
        <v>0</v>
      </c>
      <c r="T25" s="208">
        <f t="shared" si="5"/>
        <v>0</v>
      </c>
      <c r="U25" s="208">
        <f t="shared" si="5"/>
        <v>0</v>
      </c>
      <c r="V25" s="208">
        <f t="shared" si="5"/>
        <v>0</v>
      </c>
      <c r="W25" s="210">
        <f t="shared" si="5"/>
        <v>1561996285</v>
      </c>
      <c r="X25" s="218">
        <f t="shared" si="5"/>
        <v>1561996285</v>
      </c>
      <c r="Y25" s="208">
        <f t="shared" si="5"/>
        <v>0</v>
      </c>
      <c r="Z25" s="208">
        <f t="shared" si="5"/>
        <v>0</v>
      </c>
      <c r="AA25" s="208">
        <f t="shared" si="5"/>
        <v>0</v>
      </c>
      <c r="AB25" s="208">
        <f t="shared" si="5"/>
        <v>0</v>
      </c>
      <c r="AC25" s="208">
        <f aca="true" t="shared" si="6" ref="AC25:AZ25">AC8</f>
        <v>0</v>
      </c>
      <c r="AD25" s="209">
        <f t="shared" si="6"/>
        <v>0</v>
      </c>
      <c r="AE25" s="208">
        <f t="shared" si="6"/>
        <v>0</v>
      </c>
      <c r="AF25" s="208">
        <f t="shared" si="6"/>
        <v>0</v>
      </c>
      <c r="AG25" s="208">
        <f t="shared" si="6"/>
        <v>0</v>
      </c>
      <c r="AH25" s="208">
        <f t="shared" si="6"/>
        <v>0</v>
      </c>
      <c r="AI25" s="208">
        <f t="shared" si="6"/>
        <v>0</v>
      </c>
      <c r="AJ25" s="210">
        <f t="shared" si="6"/>
        <v>1561996285</v>
      </c>
      <c r="AK25" s="218">
        <f t="shared" si="6"/>
        <v>247689841</v>
      </c>
      <c r="AL25" s="208">
        <f t="shared" si="6"/>
        <v>309426672</v>
      </c>
      <c r="AM25" s="208">
        <f t="shared" si="6"/>
        <v>98260586</v>
      </c>
      <c r="AN25" s="208">
        <f t="shared" si="6"/>
        <v>28853951</v>
      </c>
      <c r="AO25" s="208">
        <f t="shared" si="6"/>
        <v>418269026</v>
      </c>
      <c r="AP25" s="208">
        <f t="shared" si="6"/>
        <v>162311314</v>
      </c>
      <c r="AQ25" s="209">
        <f t="shared" si="6"/>
        <v>21272328</v>
      </c>
      <c r="AR25" s="208">
        <f t="shared" si="6"/>
        <v>8946949</v>
      </c>
      <c r="AS25" s="208">
        <f t="shared" si="6"/>
        <v>0</v>
      </c>
      <c r="AT25" s="208">
        <f t="shared" si="6"/>
        <v>10521857</v>
      </c>
      <c r="AU25" s="208">
        <f t="shared" si="6"/>
        <v>9715795</v>
      </c>
      <c r="AV25" s="208">
        <f t="shared" si="6"/>
        <v>50392244</v>
      </c>
      <c r="AW25" s="210">
        <f t="shared" si="6"/>
        <v>1365660563</v>
      </c>
      <c r="AX25" s="218">
        <f t="shared" si="6"/>
        <v>0</v>
      </c>
      <c r="AY25" s="244">
        <f t="shared" si="6"/>
        <v>0</v>
      </c>
      <c r="AZ25" s="210">
        <f t="shared" si="6"/>
        <v>196335722</v>
      </c>
    </row>
    <row r="26" ht="13.5" thickBot="1"/>
    <row r="27" spans="1:52" ht="13.5" thickBot="1">
      <c r="A27" s="37"/>
      <c r="B27" s="37"/>
      <c r="C27" s="37"/>
      <c r="D27" s="37"/>
      <c r="E27" s="37"/>
      <c r="F27" s="37"/>
      <c r="G27" s="211" t="s">
        <v>202</v>
      </c>
      <c r="H27" s="219">
        <f aca="true" t="shared" si="7" ref="H27:AB27">SUM(H21:H25)/2</f>
        <v>1561996285</v>
      </c>
      <c r="I27" s="212">
        <f t="shared" si="7"/>
        <v>0</v>
      </c>
      <c r="J27" s="214">
        <f t="shared" si="7"/>
        <v>1561996285</v>
      </c>
      <c r="K27" s="219">
        <f t="shared" si="7"/>
        <v>1561996285</v>
      </c>
      <c r="L27" s="212">
        <f t="shared" si="7"/>
        <v>0</v>
      </c>
      <c r="M27" s="212">
        <f t="shared" si="7"/>
        <v>0</v>
      </c>
      <c r="N27" s="212">
        <f t="shared" si="7"/>
        <v>0</v>
      </c>
      <c r="O27" s="212">
        <f t="shared" si="7"/>
        <v>0</v>
      </c>
      <c r="P27" s="212">
        <f t="shared" si="7"/>
        <v>0</v>
      </c>
      <c r="Q27" s="213">
        <f t="shared" si="7"/>
        <v>0</v>
      </c>
      <c r="R27" s="212">
        <f t="shared" si="7"/>
        <v>0</v>
      </c>
      <c r="S27" s="212">
        <f t="shared" si="7"/>
        <v>0</v>
      </c>
      <c r="T27" s="212">
        <f t="shared" si="7"/>
        <v>0</v>
      </c>
      <c r="U27" s="212">
        <f t="shared" si="7"/>
        <v>0</v>
      </c>
      <c r="V27" s="212">
        <f t="shared" si="7"/>
        <v>0</v>
      </c>
      <c r="W27" s="214">
        <f t="shared" si="7"/>
        <v>1561996285</v>
      </c>
      <c r="X27" s="219">
        <f t="shared" si="7"/>
        <v>1561996285</v>
      </c>
      <c r="Y27" s="212">
        <f t="shared" si="7"/>
        <v>0</v>
      </c>
      <c r="Z27" s="212">
        <f t="shared" si="7"/>
        <v>0</v>
      </c>
      <c r="AA27" s="212">
        <f t="shared" si="7"/>
        <v>0</v>
      </c>
      <c r="AB27" s="212">
        <f t="shared" si="7"/>
        <v>0</v>
      </c>
      <c r="AC27" s="212">
        <f aca="true" t="shared" si="8" ref="AC27:AZ27">SUM(AC21:AC25)/2</f>
        <v>0</v>
      </c>
      <c r="AD27" s="213">
        <f t="shared" si="8"/>
        <v>0</v>
      </c>
      <c r="AE27" s="212">
        <f t="shared" si="8"/>
        <v>0</v>
      </c>
      <c r="AF27" s="212">
        <f t="shared" si="8"/>
        <v>0</v>
      </c>
      <c r="AG27" s="212">
        <f t="shared" si="8"/>
        <v>0</v>
      </c>
      <c r="AH27" s="212">
        <f t="shared" si="8"/>
        <v>0</v>
      </c>
      <c r="AI27" s="212">
        <f t="shared" si="8"/>
        <v>0</v>
      </c>
      <c r="AJ27" s="214">
        <f t="shared" si="8"/>
        <v>1561996285</v>
      </c>
      <c r="AK27" s="219">
        <f t="shared" si="8"/>
        <v>247689841</v>
      </c>
      <c r="AL27" s="212">
        <f t="shared" si="8"/>
        <v>309426672</v>
      </c>
      <c r="AM27" s="212">
        <f t="shared" si="8"/>
        <v>98260586</v>
      </c>
      <c r="AN27" s="212">
        <f t="shared" si="8"/>
        <v>28853951</v>
      </c>
      <c r="AO27" s="212">
        <f t="shared" si="8"/>
        <v>418269026</v>
      </c>
      <c r="AP27" s="212">
        <f t="shared" si="8"/>
        <v>162311314</v>
      </c>
      <c r="AQ27" s="213">
        <f t="shared" si="8"/>
        <v>21272328</v>
      </c>
      <c r="AR27" s="212">
        <f t="shared" si="8"/>
        <v>8946949</v>
      </c>
      <c r="AS27" s="212">
        <f t="shared" si="8"/>
        <v>0</v>
      </c>
      <c r="AT27" s="212">
        <f t="shared" si="8"/>
        <v>10521857</v>
      </c>
      <c r="AU27" s="212">
        <f t="shared" si="8"/>
        <v>9715795</v>
      </c>
      <c r="AV27" s="212">
        <f t="shared" si="8"/>
        <v>50392244</v>
      </c>
      <c r="AW27" s="214">
        <f t="shared" si="8"/>
        <v>1365660563</v>
      </c>
      <c r="AX27" s="219">
        <f t="shared" si="8"/>
        <v>0</v>
      </c>
      <c r="AY27" s="245">
        <f t="shared" si="8"/>
        <v>0</v>
      </c>
      <c r="AZ27" s="214">
        <f t="shared" si="8"/>
        <v>196335722</v>
      </c>
    </row>
  </sheetData>
  <sheetProtection/>
  <printOptions horizontalCentered="1" verticalCentered="1"/>
  <pageMargins left="0.4724409448818898" right="0.4724409448818898" top="0.69" bottom="0.7086614173228347" header="0.37" footer="0.32"/>
  <pageSetup fitToHeight="1" fitToWidth="1" horizontalDpi="300" verticalDpi="300" orientation="landscape" paperSize="9" scale="57" r:id="rId2"/>
  <headerFooter alignWithMargins="0">
    <oddHeader>&amp;LGPR-&amp;D&amp;C&amp;16INFORME EJECUCIÓN DE GASTOS - RESERVAS PRESUPUESTALES&amp;RPág. &amp;P/&amp;N</oddHeader>
    <oddFooter xml:space="preserve">&amp;L&amp;16DURAN ROA CARVAJAL
Jefe de Presupuesto &amp;C&amp;16MARTA LUCIA VILLEGAS BOTERO
Directora General&amp;R&amp;16LUZ MARINA CARREÑO MORENO
 Subdirectora Financiera (E)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A8" sqref="A8"/>
    </sheetView>
  </sheetViews>
  <sheetFormatPr defaultColWidth="11.421875" defaultRowHeight="12.75"/>
  <cols>
    <col min="2" max="2" width="13.7109375" style="0" customWidth="1"/>
    <col min="3" max="3" width="12.8515625" style="0" customWidth="1"/>
    <col min="5" max="5" width="12.421875" style="0" customWidth="1"/>
    <col min="6" max="6" width="22.28125" style="0" customWidth="1"/>
  </cols>
  <sheetData>
    <row r="1" ht="13.5" thickBot="1"/>
    <row r="2" spans="1:6" ht="15.75">
      <c r="A2" s="393" t="s">
        <v>235</v>
      </c>
      <c r="B2" s="394"/>
      <c r="C2" s="394"/>
      <c r="D2" s="394"/>
      <c r="E2" s="394"/>
      <c r="F2" s="395"/>
    </row>
    <row r="3" spans="1:6" ht="12.75">
      <c r="A3" s="396"/>
      <c r="B3" s="397"/>
      <c r="C3" s="397"/>
      <c r="D3" s="397"/>
      <c r="E3" s="397"/>
      <c r="F3" s="398"/>
    </row>
    <row r="4" spans="1:6" ht="12.75">
      <c r="A4" s="399" t="s">
        <v>236</v>
      </c>
      <c r="B4" s="400"/>
      <c r="C4" s="400"/>
      <c r="D4" s="400"/>
      <c r="E4" s="400"/>
      <c r="F4" s="401"/>
    </row>
    <row r="5" spans="1:6" ht="12.75">
      <c r="A5" s="399" t="s">
        <v>246</v>
      </c>
      <c r="B5" s="400"/>
      <c r="C5" s="400"/>
      <c r="D5" s="400"/>
      <c r="E5" s="400"/>
      <c r="F5" s="401"/>
    </row>
    <row r="6" spans="1:6" ht="12.75">
      <c r="A6" s="396"/>
      <c r="B6" s="397"/>
      <c r="C6" s="397"/>
      <c r="D6" s="397"/>
      <c r="E6" s="397"/>
      <c r="F6" s="398"/>
    </row>
    <row r="7" spans="1:6" ht="12.75">
      <c r="A7" s="396" t="s">
        <v>237</v>
      </c>
      <c r="B7" s="397"/>
      <c r="C7" s="397"/>
      <c r="D7" s="397"/>
      <c r="E7" s="397"/>
      <c r="F7" s="411" t="s">
        <v>262</v>
      </c>
    </row>
    <row r="8" spans="1:6" ht="13.5" thickBot="1">
      <c r="A8" s="406" t="s">
        <v>287</v>
      </c>
      <c r="B8" s="407"/>
      <c r="C8" s="407"/>
      <c r="D8" s="407"/>
      <c r="E8" s="407"/>
      <c r="F8" s="419">
        <f ca="1">TODAY()</f>
        <v>41229</v>
      </c>
    </row>
    <row r="9" spans="1:6" ht="13.5" thickBot="1">
      <c r="A9" s="396"/>
      <c r="B9" s="397"/>
      <c r="C9" s="397"/>
      <c r="D9" s="397"/>
      <c r="E9" s="397"/>
      <c r="F9" s="398"/>
    </row>
    <row r="10" spans="1:7" ht="36.75" thickBot="1">
      <c r="A10" s="408" t="s">
        <v>238</v>
      </c>
      <c r="B10" s="409" t="s">
        <v>239</v>
      </c>
      <c r="C10" s="409" t="s">
        <v>240</v>
      </c>
      <c r="D10" s="409" t="s">
        <v>241</v>
      </c>
      <c r="E10" s="409" t="s">
        <v>242</v>
      </c>
      <c r="F10" s="410" t="s">
        <v>243</v>
      </c>
      <c r="G10" s="392"/>
    </row>
    <row r="11" spans="1:7" ht="12.75">
      <c r="A11" s="396"/>
      <c r="B11" s="402"/>
      <c r="C11" s="402"/>
      <c r="D11" s="402"/>
      <c r="E11" s="402"/>
      <c r="F11" s="403"/>
      <c r="G11" s="392"/>
    </row>
    <row r="12" spans="1:6" ht="12.75">
      <c r="A12" s="396" t="s">
        <v>244</v>
      </c>
      <c r="B12" s="404">
        <f>GASTOS!V$23+GASTOS!V$24-C12</f>
        <v>465423187</v>
      </c>
      <c r="C12" s="404">
        <v>3246332</v>
      </c>
      <c r="D12" s="404">
        <v>0</v>
      </c>
      <c r="E12" s="404">
        <f>GASTOS!V11</f>
        <v>465429337</v>
      </c>
      <c r="F12" s="405"/>
    </row>
    <row r="13" spans="1:6" ht="12.75">
      <c r="A13" s="396" t="s">
        <v>212</v>
      </c>
      <c r="B13" s="404">
        <f>GASTOS!W$23+GASTOS!W$24-C13</f>
        <v>222228081</v>
      </c>
      <c r="C13" s="404">
        <v>3395367</v>
      </c>
      <c r="D13" s="404">
        <v>0</v>
      </c>
      <c r="E13" s="404">
        <f>GASTOS!W11</f>
        <v>634080542</v>
      </c>
      <c r="F13" s="405"/>
    </row>
    <row r="14" spans="1:6" ht="12.75">
      <c r="A14" s="396" t="s">
        <v>213</v>
      </c>
      <c r="B14" s="404">
        <f>GASTOS!X$23+GASTOS!X$24-C14</f>
        <v>527692715</v>
      </c>
      <c r="C14" s="404">
        <v>20834018</v>
      </c>
      <c r="D14" s="404">
        <v>0</v>
      </c>
      <c r="E14" s="404">
        <f>GASTOS!X11</f>
        <v>659139615</v>
      </c>
      <c r="F14" s="405"/>
    </row>
    <row r="15" spans="1:6" ht="12.75">
      <c r="A15" s="396" t="s">
        <v>214</v>
      </c>
      <c r="B15" s="404">
        <f>GASTOS!Y$23+GASTOS!Y$24-C15</f>
        <v>470270654</v>
      </c>
      <c r="C15" s="404">
        <v>6844210</v>
      </c>
      <c r="D15" s="404">
        <v>0</v>
      </c>
      <c r="E15" s="404">
        <f>GASTOS!Y11</f>
        <v>702974004</v>
      </c>
      <c r="F15" s="405"/>
    </row>
    <row r="16" spans="1:6" ht="12.75">
      <c r="A16" s="396" t="s">
        <v>215</v>
      </c>
      <c r="B16" s="404">
        <f>GASTOS!Z$23+GASTOS!Z$24-C16</f>
        <v>282170265</v>
      </c>
      <c r="C16" s="404">
        <v>9205853</v>
      </c>
      <c r="D16" s="404">
        <v>0</v>
      </c>
      <c r="E16" s="404">
        <f>GASTOS!Z11</f>
        <v>670618660</v>
      </c>
      <c r="F16" s="405"/>
    </row>
    <row r="17" spans="1:6" ht="12.75">
      <c r="A17" s="396" t="s">
        <v>216</v>
      </c>
      <c r="B17" s="404">
        <f>GASTOS!AA$23+GASTOS!AA$24-C17</f>
        <v>367031006</v>
      </c>
      <c r="C17" s="404">
        <v>23433441</v>
      </c>
      <c r="D17" s="404">
        <v>0</v>
      </c>
      <c r="E17" s="404">
        <f>GASTOS!AA11</f>
        <v>1034710911</v>
      </c>
      <c r="F17" s="405"/>
    </row>
    <row r="18" spans="1:6" ht="12.75">
      <c r="A18" s="396" t="s">
        <v>217</v>
      </c>
      <c r="B18" s="404">
        <f>GASTOS!AB$23+GASTOS!AB$24-C18</f>
        <v>289835665</v>
      </c>
      <c r="C18" s="404">
        <v>18633794</v>
      </c>
      <c r="D18" s="404">
        <v>0</v>
      </c>
      <c r="E18" s="404">
        <f>GASTOS!AB11</f>
        <v>783865844</v>
      </c>
      <c r="F18" s="405"/>
    </row>
    <row r="19" spans="1:7" ht="12.75">
      <c r="A19" s="396" t="s">
        <v>218</v>
      </c>
      <c r="B19" s="404">
        <f>GASTOS!AC$23+GASTOS!AC$24-C19</f>
        <v>211162279</v>
      </c>
      <c r="C19" s="404">
        <v>4067266</v>
      </c>
      <c r="D19" s="404">
        <v>0</v>
      </c>
      <c r="E19" s="404">
        <f>GASTOS!AC11</f>
        <v>563172344</v>
      </c>
      <c r="F19" s="405"/>
      <c r="G19" s="418"/>
    </row>
    <row r="20" spans="1:6" ht="12.75">
      <c r="A20" s="396" t="s">
        <v>219</v>
      </c>
      <c r="B20" s="404">
        <f>GASTOS!AD$23+GASTOS!AD$24-C20</f>
        <v>225397794</v>
      </c>
      <c r="C20" s="404">
        <v>1185018</v>
      </c>
      <c r="D20" s="404">
        <v>0</v>
      </c>
      <c r="E20" s="404">
        <f>GASTOS!AD11</f>
        <v>618910624</v>
      </c>
      <c r="F20" s="405"/>
    </row>
    <row r="21" spans="1:6" ht="12.75">
      <c r="A21" s="396" t="s">
        <v>220</v>
      </c>
      <c r="B21" s="404">
        <f>GASTOS!AE$23+GASTOS!AE$24-C21</f>
        <v>256850424</v>
      </c>
      <c r="C21" s="404">
        <v>1171710</v>
      </c>
      <c r="D21" s="404">
        <v>0</v>
      </c>
      <c r="E21" s="404">
        <f>GASTOS!AE11</f>
        <v>610281733</v>
      </c>
      <c r="F21" s="405"/>
    </row>
    <row r="22" spans="1:6" ht="12.75">
      <c r="A22" s="396" t="s">
        <v>221</v>
      </c>
      <c r="B22" s="404">
        <f>GASTOS!AF$23+GASTOS!AF$24-C22</f>
        <v>1883426</v>
      </c>
      <c r="C22" s="404">
        <v>0</v>
      </c>
      <c r="D22" s="404">
        <v>0</v>
      </c>
      <c r="E22" s="404">
        <f>GASTOS!AF11</f>
        <v>735504572</v>
      </c>
      <c r="F22" s="405"/>
    </row>
    <row r="23" spans="1:6" ht="12.75">
      <c r="A23" s="396" t="s">
        <v>222</v>
      </c>
      <c r="B23" s="404">
        <f>GASTOS!AG$23+GASTOS!AG$24-C23</f>
        <v>97976634</v>
      </c>
      <c r="C23" s="404">
        <v>0</v>
      </c>
      <c r="D23" s="404">
        <v>0</v>
      </c>
      <c r="E23" s="404">
        <f>GASTOS!AG11</f>
        <v>2304305071</v>
      </c>
      <c r="F23" s="405"/>
    </row>
    <row r="24" spans="1:6" ht="13.5" thickBot="1">
      <c r="A24" s="396"/>
      <c r="B24" s="404"/>
      <c r="C24" s="404"/>
      <c r="D24" s="404"/>
      <c r="E24" s="404"/>
      <c r="F24" s="405"/>
    </row>
    <row r="25" spans="1:6" ht="13.5" thickBot="1">
      <c r="A25" s="408" t="s">
        <v>245</v>
      </c>
      <c r="B25" s="412">
        <f>SUM(B12:B23)</f>
        <v>3417922130</v>
      </c>
      <c r="C25" s="412">
        <f>SUM(C12:C23)</f>
        <v>92017009</v>
      </c>
      <c r="D25" s="412">
        <f>SUM(D12:D23)</f>
        <v>0</v>
      </c>
      <c r="E25" s="412">
        <f>SUM(E12:E23)</f>
        <v>9782993257</v>
      </c>
      <c r="F25" s="413"/>
    </row>
    <row r="28" ht="12.75">
      <c r="C28" s="421"/>
    </row>
    <row r="29" ht="12.75">
      <c r="C29" s="421"/>
    </row>
    <row r="30" spans="2:3" ht="12.75">
      <c r="B30" s="418"/>
      <c r="C30" s="421"/>
    </row>
    <row r="31" ht="12.75">
      <c r="C31" s="421"/>
    </row>
    <row r="32" ht="12.75">
      <c r="C32" s="421"/>
    </row>
    <row r="33" ht="12.75">
      <c r="C33" s="421"/>
    </row>
    <row r="34" ht="12.75">
      <c r="C34" s="421"/>
    </row>
  </sheetData>
  <sheetProtection/>
  <printOptions horizontalCentered="1" verticalCentered="1"/>
  <pageMargins left="0.7874015748031497" right="0.7874015748031497" top="0.984251968503937" bottom="1.29" header="0.5118110236220472" footer="0.65"/>
  <pageSetup horizontalDpi="600" verticalDpi="600" orientation="landscape" r:id="rId2"/>
  <headerFooter alignWithMargins="0">
    <oddFooter>&amp;L&amp;12
DURAN ROA CARVAJAL 
Jefe de Presupuesto  
&amp;C&amp;12MARTA LUCIA VILLEGAS BOTERO
Directora General 
&amp;R&amp;12LUZ MARINA CARREÑO MORENO 
Subdirectora  Financiera (E)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GPR/Nelson</dc:creator>
  <cp:keywords/>
  <dc:description/>
  <cp:lastModifiedBy>Jorge Nelson Gaitan Leon</cp:lastModifiedBy>
  <cp:lastPrinted>2004-03-25T19:27:53Z</cp:lastPrinted>
  <dcterms:created xsi:type="dcterms:W3CDTF">1998-05-13T20:09:52Z</dcterms:created>
  <dcterms:modified xsi:type="dcterms:W3CDTF">2012-11-16T14:57:47Z</dcterms:modified>
  <cp:category/>
  <cp:version/>
  <cp:contentType/>
  <cp:contentStatus/>
</cp:coreProperties>
</file>